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KnowHow\Retro-Computing\C64\keyboard\"/>
    </mc:Choice>
  </mc:AlternateContent>
  <xr:revisionPtr revIDLastSave="0" documentId="13_ncr:1_{9D50C89E-9728-441B-8F79-FF6777C581A1}" xr6:coauthVersionLast="47" xr6:coauthVersionMax="47" xr10:uidLastSave="{00000000-0000-0000-0000-000000000000}"/>
  <bookViews>
    <workbookView xWindow="864" yWindow="948" windowWidth="27588" windowHeight="14700" activeTab="1" xr2:uid="{AAE10D81-B165-4F01-A8A9-160F427C2BF4}"/>
  </bookViews>
  <sheets>
    <sheet name="measured" sheetId="1" r:id="rId1"/>
    <sheet name="calculated" sheetId="2" r:id="rId2"/>
    <sheet name="deviation" sheetId="3" r:id="rId3"/>
    <sheet name="PCB" sheetId="4" r:id="rId4"/>
  </sheets>
  <definedNames>
    <definedName name="_xlnm.Print_Area" localSheetId="3">Tabelle135[#All]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" l="1"/>
  <c r="E76" i="1"/>
  <c r="E77" i="1"/>
  <c r="E78" i="1"/>
  <c r="E79" i="1"/>
  <c r="E80" i="1"/>
  <c r="E81" i="1"/>
  <c r="E82" i="1"/>
  <c r="E83" i="1"/>
  <c r="E84" i="1"/>
  <c r="E74" i="1"/>
  <c r="C74" i="1"/>
  <c r="D79" i="1"/>
  <c r="D82" i="1"/>
  <c r="D83" i="1"/>
  <c r="C81" i="1"/>
  <c r="D81" i="1" s="1"/>
  <c r="C82" i="1"/>
  <c r="C83" i="1"/>
  <c r="C77" i="1"/>
  <c r="D77" i="1" s="1"/>
  <c r="C78" i="1"/>
  <c r="D78" i="1" s="1"/>
  <c r="C79" i="1"/>
  <c r="C80" i="1"/>
  <c r="D80" i="1" s="1"/>
  <c r="C76" i="1"/>
  <c r="D76" i="1" s="1"/>
  <c r="C75" i="1"/>
  <c r="B5" i="4"/>
  <c r="B8" i="4"/>
  <c r="B41" i="4"/>
  <c r="B57" i="4"/>
  <c r="B4" i="4"/>
  <c r="B3" i="1"/>
  <c r="B56" i="2"/>
  <c r="C19" i="1"/>
  <c r="D63" i="1"/>
  <c r="C60" i="1"/>
  <c r="C56" i="1"/>
  <c r="D46" i="1"/>
  <c r="D45" i="1"/>
  <c r="C18" i="1"/>
  <c r="C13" i="1"/>
  <c r="C8" i="1"/>
  <c r="B57" i="2"/>
  <c r="B58" i="2" s="1"/>
  <c r="B59" i="4" s="1"/>
  <c r="B41" i="2"/>
  <c r="B8" i="2"/>
  <c r="B9" i="4" s="1"/>
  <c r="C71" i="1"/>
  <c r="I73" i="1" s="1"/>
  <c r="D71" i="1"/>
  <c r="D70" i="1"/>
  <c r="D69" i="1"/>
  <c r="C69" i="1"/>
  <c r="D68" i="1"/>
  <c r="C68" i="1"/>
  <c r="D67" i="1"/>
  <c r="C67" i="1"/>
  <c r="D66" i="1"/>
  <c r="C66" i="1"/>
  <c r="D65" i="1"/>
  <c r="C65" i="1"/>
  <c r="D64" i="1"/>
  <c r="C64" i="1"/>
  <c r="C63" i="1"/>
  <c r="D62" i="1"/>
  <c r="C62" i="1"/>
  <c r="D61" i="1"/>
  <c r="C61" i="1"/>
  <c r="D60" i="1"/>
  <c r="D59" i="1"/>
  <c r="C59" i="1"/>
  <c r="D58" i="1"/>
  <c r="C58" i="1"/>
  <c r="D57" i="1"/>
  <c r="K60" i="1" s="1"/>
  <c r="C57" i="1"/>
  <c r="D56" i="1"/>
  <c r="D55" i="1"/>
  <c r="C55" i="1"/>
  <c r="B52" i="3" s="1"/>
  <c r="D54" i="1"/>
  <c r="D53" i="1"/>
  <c r="C53" i="1"/>
  <c r="D52" i="1"/>
  <c r="C52" i="1"/>
  <c r="D51" i="1"/>
  <c r="C51" i="1"/>
  <c r="D50" i="1"/>
  <c r="C50" i="1"/>
  <c r="C49" i="1"/>
  <c r="D49" i="1"/>
  <c r="C48" i="1"/>
  <c r="D47" i="1"/>
  <c r="D48" i="1"/>
  <c r="C47" i="1"/>
  <c r="C46" i="1"/>
  <c r="C45" i="1"/>
  <c r="D43" i="1"/>
  <c r="D44" i="1"/>
  <c r="C44" i="1"/>
  <c r="C43" i="1"/>
  <c r="D41" i="1"/>
  <c r="D42" i="1"/>
  <c r="C42" i="1"/>
  <c r="C41" i="1"/>
  <c r="D40" i="1"/>
  <c r="C40" i="1"/>
  <c r="D39" i="1"/>
  <c r="K44" i="1" s="1"/>
  <c r="C39" i="1"/>
  <c r="I50" i="1" s="1"/>
  <c r="D38" i="1"/>
  <c r="C37" i="1"/>
  <c r="D37" i="1"/>
  <c r="C36" i="1"/>
  <c r="D36" i="1"/>
  <c r="C35" i="1"/>
  <c r="D35" i="1"/>
  <c r="C34" i="1"/>
  <c r="D34" i="1"/>
  <c r="C29" i="1"/>
  <c r="C33" i="1"/>
  <c r="D33" i="1"/>
  <c r="C32" i="1"/>
  <c r="D32" i="1"/>
  <c r="C31" i="1"/>
  <c r="D31" i="1"/>
  <c r="D30" i="1"/>
  <c r="C30" i="1"/>
  <c r="D29" i="1"/>
  <c r="C28" i="1"/>
  <c r="D28" i="1"/>
  <c r="D27" i="1"/>
  <c r="C27" i="1"/>
  <c r="D26" i="1"/>
  <c r="C26" i="1"/>
  <c r="D25" i="1"/>
  <c r="C25" i="1"/>
  <c r="D24" i="1"/>
  <c r="C24" i="1"/>
  <c r="D23" i="1"/>
  <c r="K28" i="1" s="1"/>
  <c r="C23" i="1"/>
  <c r="I34" i="1" s="1"/>
  <c r="B4" i="1"/>
  <c r="C22" i="1" s="1"/>
  <c r="D22" i="1"/>
  <c r="D21" i="1"/>
  <c r="C20" i="1"/>
  <c r="D20" i="1"/>
  <c r="D19" i="1"/>
  <c r="D18" i="1"/>
  <c r="C17" i="1"/>
  <c r="D17" i="1"/>
  <c r="C16" i="1"/>
  <c r="D16" i="1"/>
  <c r="G6" i="1"/>
  <c r="C15" i="1"/>
  <c r="D15" i="1"/>
  <c r="C14" i="1"/>
  <c r="D14" i="1"/>
  <c r="D13" i="1"/>
  <c r="D12" i="1"/>
  <c r="C12" i="1"/>
  <c r="D11" i="1"/>
  <c r="C11" i="1"/>
  <c r="D10" i="1"/>
  <c r="C10" i="1"/>
  <c r="D9" i="1"/>
  <c r="C9" i="1"/>
  <c r="D8" i="1"/>
  <c r="D7" i="1"/>
  <c r="D6" i="1"/>
  <c r="K16" i="1" s="1"/>
  <c r="C7" i="1"/>
  <c r="C6" i="1"/>
  <c r="I19" i="1" s="1"/>
  <c r="B37" i="3" l="1"/>
  <c r="G37" i="3" s="1"/>
  <c r="B58" i="4"/>
  <c r="B42" i="4"/>
  <c r="G52" i="3"/>
  <c r="B24" i="2"/>
  <c r="B25" i="4" s="1"/>
  <c r="B36" i="3"/>
  <c r="B4" i="3"/>
  <c r="G4" i="3" s="1"/>
  <c r="B3" i="3"/>
  <c r="B59" i="2"/>
  <c r="B60" i="4" s="1"/>
  <c r="B54" i="3"/>
  <c r="G54" i="3" s="1"/>
  <c r="B42" i="2"/>
  <c r="B43" i="4" s="1"/>
  <c r="B53" i="3"/>
  <c r="G53" i="3" s="1"/>
  <c r="B9" i="2"/>
  <c r="B10" i="4" s="1"/>
  <c r="J57" i="1"/>
  <c r="B72" i="2"/>
  <c r="G68" i="1"/>
  <c r="G52" i="1"/>
  <c r="J60" i="1"/>
  <c r="N71" i="1" s="1"/>
  <c r="G66" i="1"/>
  <c r="G59" i="1"/>
  <c r="G63" i="1"/>
  <c r="C70" i="1"/>
  <c r="N54" i="1" s="1"/>
  <c r="G67" i="1"/>
  <c r="I77" i="1" s="1"/>
  <c r="G44" i="1"/>
  <c r="G65" i="1"/>
  <c r="C54" i="1"/>
  <c r="N53" i="1" s="1"/>
  <c r="N72" i="1"/>
  <c r="N51" i="1"/>
  <c r="I60" i="1"/>
  <c r="J73" i="1" s="1"/>
  <c r="G53" i="1"/>
  <c r="I75" i="1" s="1"/>
  <c r="G57" i="1"/>
  <c r="G49" i="1"/>
  <c r="G69" i="1"/>
  <c r="G64" i="1"/>
  <c r="G56" i="1"/>
  <c r="I76" i="1" s="1"/>
  <c r="I66" i="1"/>
  <c r="G61" i="1"/>
  <c r="G34" i="1"/>
  <c r="G47" i="1"/>
  <c r="G62" i="1"/>
  <c r="G33" i="1"/>
  <c r="G58" i="1"/>
  <c r="G60" i="1"/>
  <c r="G48" i="1"/>
  <c r="C38" i="1"/>
  <c r="N52" i="1" s="1"/>
  <c r="G46" i="1"/>
  <c r="G51" i="1"/>
  <c r="G50" i="1"/>
  <c r="G43" i="1"/>
  <c r="G45" i="1"/>
  <c r="J41" i="1"/>
  <c r="G28" i="1"/>
  <c r="G42" i="1"/>
  <c r="J28" i="1"/>
  <c r="N69" i="1" s="1"/>
  <c r="J44" i="1"/>
  <c r="G11" i="1"/>
  <c r="I44" i="1"/>
  <c r="G25" i="1"/>
  <c r="G40" i="1"/>
  <c r="J25" i="1"/>
  <c r="G9" i="1"/>
  <c r="G17" i="1"/>
  <c r="G26" i="1"/>
  <c r="G37" i="1"/>
  <c r="G41" i="1"/>
  <c r="G7" i="1"/>
  <c r="G32" i="1"/>
  <c r="G36" i="1"/>
  <c r="G8" i="1"/>
  <c r="I28" i="1"/>
  <c r="J16" i="1"/>
  <c r="N68" i="1" s="1"/>
  <c r="C7" i="2" s="1"/>
  <c r="G27" i="1"/>
  <c r="G35" i="1"/>
  <c r="G24" i="1"/>
  <c r="G31" i="1"/>
  <c r="I16" i="1"/>
  <c r="G30" i="1"/>
  <c r="G18" i="1"/>
  <c r="G29" i="1"/>
  <c r="G13" i="1"/>
  <c r="G19" i="1"/>
  <c r="C21" i="1"/>
  <c r="G15" i="1"/>
  <c r="G14" i="1"/>
  <c r="G12" i="1"/>
  <c r="G16" i="1"/>
  <c r="G10" i="1"/>
  <c r="G20" i="1"/>
  <c r="L57" i="1" l="1"/>
  <c r="L25" i="1"/>
  <c r="L41" i="1"/>
  <c r="I63" i="1"/>
  <c r="B68" i="3"/>
  <c r="G68" i="3" s="1"/>
  <c r="B73" i="4"/>
  <c r="C3" i="3"/>
  <c r="J3" i="3" s="1"/>
  <c r="C8" i="4"/>
  <c r="G3" i="3"/>
  <c r="G36" i="3"/>
  <c r="B25" i="2"/>
  <c r="B26" i="4" s="1"/>
  <c r="B20" i="3"/>
  <c r="I31" i="1"/>
  <c r="B5" i="3"/>
  <c r="G5" i="3" s="1"/>
  <c r="B10" i="2"/>
  <c r="B11" i="4" s="1"/>
  <c r="B43" i="2"/>
  <c r="B44" i="4" s="1"/>
  <c r="B38" i="3"/>
  <c r="G38" i="3" s="1"/>
  <c r="B60" i="2"/>
  <c r="B61" i="4" s="1"/>
  <c r="B55" i="3"/>
  <c r="C24" i="2"/>
  <c r="C25" i="4" s="1"/>
  <c r="C8" i="2"/>
  <c r="C9" i="4" s="1"/>
  <c r="O69" i="1"/>
  <c r="M57" i="1"/>
  <c r="J47" i="1"/>
  <c r="N70" i="1"/>
  <c r="I78" i="1"/>
  <c r="O74" i="1"/>
  <c r="O72" i="1"/>
  <c r="N57" i="1"/>
  <c r="J63" i="1"/>
  <c r="J31" i="1"/>
  <c r="I57" i="1"/>
  <c r="I83" i="1" s="1"/>
  <c r="K57" i="1"/>
  <c r="I47" i="1"/>
  <c r="G21" i="1"/>
  <c r="L13" i="1" s="1"/>
  <c r="J13" i="1"/>
  <c r="K41" i="1"/>
  <c r="I41" i="1"/>
  <c r="I82" i="1" s="1"/>
  <c r="K25" i="1"/>
  <c r="I25" i="1"/>
  <c r="I81" i="1" s="1"/>
  <c r="I13" i="1"/>
  <c r="I80" i="1" s="1"/>
  <c r="K13" i="1"/>
  <c r="G55" i="3" l="1"/>
  <c r="I84" i="1"/>
  <c r="B21" i="3"/>
  <c r="G21" i="3" s="1"/>
  <c r="B26" i="2"/>
  <c r="B27" i="4" s="1"/>
  <c r="B23" i="2"/>
  <c r="B71" i="2"/>
  <c r="B39" i="2"/>
  <c r="B55" i="2"/>
  <c r="G20" i="3"/>
  <c r="C9" i="2"/>
  <c r="C10" i="4" s="1"/>
  <c r="C4" i="3"/>
  <c r="J4" i="3" s="1"/>
  <c r="C25" i="2"/>
  <c r="C26" i="4" s="1"/>
  <c r="C20" i="3"/>
  <c r="J20" i="3" s="1"/>
  <c r="B61" i="2"/>
  <c r="B62" i="4" s="1"/>
  <c r="B56" i="3"/>
  <c r="B44" i="2"/>
  <c r="B45" i="4" s="1"/>
  <c r="B39" i="3"/>
  <c r="B11" i="2"/>
  <c r="B12" i="4" s="1"/>
  <c r="B6" i="3"/>
  <c r="G6" i="3" s="1"/>
  <c r="J78" i="1"/>
  <c r="O70" i="1"/>
  <c r="O71" i="1"/>
  <c r="G39" i="3" l="1"/>
  <c r="B51" i="3"/>
  <c r="G51" i="3" s="1"/>
  <c r="B56" i="4"/>
  <c r="B35" i="3"/>
  <c r="G35" i="3" s="1"/>
  <c r="B40" i="4"/>
  <c r="B67" i="3"/>
  <c r="G67" i="3" s="1"/>
  <c r="B72" i="4"/>
  <c r="B19" i="3"/>
  <c r="G19" i="3" s="1"/>
  <c r="B24" i="4"/>
  <c r="G56" i="3"/>
  <c r="B27" i="2"/>
  <c r="B28" i="4" s="1"/>
  <c r="B22" i="3"/>
  <c r="G22" i="3" s="1"/>
  <c r="O73" i="1"/>
  <c r="C10" i="2"/>
  <c r="C11" i="4" s="1"/>
  <c r="C5" i="3"/>
  <c r="J5" i="3" s="1"/>
  <c r="C26" i="2"/>
  <c r="C27" i="4" s="1"/>
  <c r="C21" i="3"/>
  <c r="J21" i="3" s="1"/>
  <c r="B45" i="2"/>
  <c r="B46" i="4" s="1"/>
  <c r="B40" i="3"/>
  <c r="G40" i="3" s="1"/>
  <c r="B12" i="2"/>
  <c r="B13" i="4" s="1"/>
  <c r="B7" i="3"/>
  <c r="B62" i="2"/>
  <c r="B63" i="4" s="1"/>
  <c r="B57" i="3"/>
  <c r="G57" i="3" l="1"/>
  <c r="B28" i="2"/>
  <c r="B29" i="4" s="1"/>
  <c r="B23" i="3"/>
  <c r="G7" i="3"/>
  <c r="C11" i="2"/>
  <c r="C12" i="4" s="1"/>
  <c r="C6" i="3"/>
  <c r="J6" i="3" s="1"/>
  <c r="C27" i="2"/>
  <c r="C28" i="4" s="1"/>
  <c r="C22" i="3"/>
  <c r="J22" i="3" s="1"/>
  <c r="B13" i="2"/>
  <c r="B14" i="4" s="1"/>
  <c r="B8" i="3"/>
  <c r="G8" i="3" s="1"/>
  <c r="B63" i="2"/>
  <c r="B64" i="4" s="1"/>
  <c r="B58" i="3"/>
  <c r="G58" i="3" s="1"/>
  <c r="B46" i="2"/>
  <c r="B47" i="4" s="1"/>
  <c r="B41" i="3"/>
  <c r="G41" i="3" s="1"/>
  <c r="G23" i="3" l="1"/>
  <c r="B29" i="2"/>
  <c r="B30" i="4" s="1"/>
  <c r="B24" i="3"/>
  <c r="G24" i="3" s="1"/>
  <c r="C12" i="2"/>
  <c r="C13" i="4" s="1"/>
  <c r="C7" i="3"/>
  <c r="J7" i="3" s="1"/>
  <c r="C28" i="2"/>
  <c r="C29" i="4" s="1"/>
  <c r="C23" i="3"/>
  <c r="J23" i="3" s="1"/>
  <c r="B64" i="2"/>
  <c r="B65" i="4" s="1"/>
  <c r="B59" i="3"/>
  <c r="B47" i="2"/>
  <c r="B48" i="4" s="1"/>
  <c r="B42" i="3"/>
  <c r="B14" i="2"/>
  <c r="B15" i="4" s="1"/>
  <c r="B9" i="3"/>
  <c r="G9" i="3" l="1"/>
  <c r="G59" i="3"/>
  <c r="G42" i="3"/>
  <c r="B30" i="2"/>
  <c r="B31" i="4" s="1"/>
  <c r="B25" i="3"/>
  <c r="G25" i="3" s="1"/>
  <c r="C29" i="2"/>
  <c r="C30" i="4" s="1"/>
  <c r="C24" i="3"/>
  <c r="J24" i="3" s="1"/>
  <c r="C13" i="2"/>
  <c r="C14" i="4" s="1"/>
  <c r="C8" i="3"/>
  <c r="J8" i="3" s="1"/>
  <c r="B48" i="2"/>
  <c r="B49" i="4" s="1"/>
  <c r="B43" i="3"/>
  <c r="G43" i="3" s="1"/>
  <c r="B15" i="2"/>
  <c r="B16" i="4" s="1"/>
  <c r="B10" i="3"/>
  <c r="G10" i="3" s="1"/>
  <c r="B65" i="2"/>
  <c r="B66" i="4" s="1"/>
  <c r="B60" i="3"/>
  <c r="G60" i="3" s="1"/>
  <c r="B31" i="2" l="1"/>
  <c r="B32" i="4" s="1"/>
  <c r="B26" i="3"/>
  <c r="G26" i="3" s="1"/>
  <c r="C14" i="2"/>
  <c r="C15" i="4" s="1"/>
  <c r="C9" i="3"/>
  <c r="J9" i="3" s="1"/>
  <c r="C30" i="2"/>
  <c r="C31" i="4" s="1"/>
  <c r="C25" i="3"/>
  <c r="J25" i="3" s="1"/>
  <c r="B16" i="2"/>
  <c r="B17" i="4" s="1"/>
  <c r="B11" i="3"/>
  <c r="G11" i="3" s="1"/>
  <c r="B66" i="2"/>
  <c r="B67" i="4" s="1"/>
  <c r="B61" i="3"/>
  <c r="G61" i="3" s="1"/>
  <c r="B49" i="2"/>
  <c r="B50" i="4" s="1"/>
  <c r="B44" i="3"/>
  <c r="G44" i="3" s="1"/>
  <c r="B32" i="2" l="1"/>
  <c r="B33" i="4" s="1"/>
  <c r="B27" i="3"/>
  <c r="G27" i="3" s="1"/>
  <c r="C31" i="2"/>
  <c r="C32" i="4" s="1"/>
  <c r="C26" i="3"/>
  <c r="J26" i="3" s="1"/>
  <c r="C15" i="2"/>
  <c r="C16" i="4" s="1"/>
  <c r="C10" i="3"/>
  <c r="J10" i="3" s="1"/>
  <c r="B50" i="2"/>
  <c r="B51" i="4" s="1"/>
  <c r="B45" i="3"/>
  <c r="G45" i="3" s="1"/>
  <c r="B67" i="2"/>
  <c r="B68" i="4" s="1"/>
  <c r="B62" i="3"/>
  <c r="G62" i="3" s="1"/>
  <c r="B17" i="2"/>
  <c r="B18" i="4" s="1"/>
  <c r="B12" i="3"/>
  <c r="G12" i="3" s="1"/>
  <c r="B33" i="2" l="1"/>
  <c r="B34" i="4" s="1"/>
  <c r="B28" i="3"/>
  <c r="G28" i="3" s="1"/>
  <c r="C16" i="2"/>
  <c r="C17" i="4" s="1"/>
  <c r="C11" i="3"/>
  <c r="J11" i="3" s="1"/>
  <c r="C32" i="2"/>
  <c r="C33" i="4" s="1"/>
  <c r="C27" i="3"/>
  <c r="J27" i="3" s="1"/>
  <c r="B63" i="3"/>
  <c r="G63" i="3" s="1"/>
  <c r="B68" i="2"/>
  <c r="B69" i="4" s="1"/>
  <c r="B18" i="2"/>
  <c r="B19" i="4" s="1"/>
  <c r="B13" i="3"/>
  <c r="G13" i="3" s="1"/>
  <c r="B51" i="2"/>
  <c r="B52" i="4" s="1"/>
  <c r="B46" i="3"/>
  <c r="G46" i="3" s="1"/>
  <c r="B34" i="2" l="1"/>
  <c r="B35" i="4" s="1"/>
  <c r="B29" i="3"/>
  <c r="G29" i="3" s="1"/>
  <c r="C33" i="2"/>
  <c r="C34" i="4" s="1"/>
  <c r="C28" i="3"/>
  <c r="J28" i="3" s="1"/>
  <c r="C17" i="2"/>
  <c r="C18" i="4" s="1"/>
  <c r="C12" i="3"/>
  <c r="J12" i="3" s="1"/>
  <c r="B52" i="2"/>
  <c r="B53" i="4" s="1"/>
  <c r="B47" i="3"/>
  <c r="G47" i="3" s="1"/>
  <c r="B19" i="2"/>
  <c r="B20" i="4" s="1"/>
  <c r="B14" i="3"/>
  <c r="G14" i="3" s="1"/>
  <c r="B69" i="2"/>
  <c r="B70" i="4" s="1"/>
  <c r="B64" i="3"/>
  <c r="G64" i="3" s="1"/>
  <c r="B35" i="2" l="1"/>
  <c r="B36" i="4" s="1"/>
  <c r="B30" i="3"/>
  <c r="G30" i="3" s="1"/>
  <c r="C18" i="2"/>
  <c r="C19" i="4" s="1"/>
  <c r="C13" i="3"/>
  <c r="J13" i="3" s="1"/>
  <c r="C34" i="2"/>
  <c r="C35" i="4" s="1"/>
  <c r="C29" i="3"/>
  <c r="J29" i="3" s="1"/>
  <c r="B20" i="2"/>
  <c r="B21" i="4" s="1"/>
  <c r="B15" i="3"/>
  <c r="G15" i="3" s="1"/>
  <c r="B65" i="3"/>
  <c r="G65" i="3" s="1"/>
  <c r="B70" i="2"/>
  <c r="B53" i="2"/>
  <c r="B54" i="4" s="1"/>
  <c r="B48" i="3"/>
  <c r="G48" i="3" s="1"/>
  <c r="B66" i="3" l="1"/>
  <c r="I52" i="3" s="1"/>
  <c r="B71" i="4"/>
  <c r="B36" i="2"/>
  <c r="B37" i="4" s="1"/>
  <c r="B31" i="3"/>
  <c r="G31" i="3" s="1"/>
  <c r="C35" i="2"/>
  <c r="C36" i="4" s="1"/>
  <c r="C30" i="3"/>
  <c r="J30" i="3" s="1"/>
  <c r="C19" i="2"/>
  <c r="C20" i="4" s="1"/>
  <c r="C14" i="3"/>
  <c r="J14" i="3" s="1"/>
  <c r="B49" i="3"/>
  <c r="G49" i="3" s="1"/>
  <c r="B54" i="2"/>
  <c r="B21" i="2"/>
  <c r="B22" i="4" s="1"/>
  <c r="B16" i="3"/>
  <c r="G16" i="3" s="1"/>
  <c r="G66" i="3" l="1"/>
  <c r="H52" i="3" s="1"/>
  <c r="B50" i="3"/>
  <c r="I36" i="3" s="1"/>
  <c r="B55" i="4"/>
  <c r="B37" i="2"/>
  <c r="B38" i="4" s="1"/>
  <c r="B32" i="3"/>
  <c r="G32" i="3" s="1"/>
  <c r="G50" i="3"/>
  <c r="H36" i="3" s="1"/>
  <c r="C20" i="2"/>
  <c r="C21" i="4" s="1"/>
  <c r="C15" i="3"/>
  <c r="J15" i="3" s="1"/>
  <c r="C36" i="2"/>
  <c r="C37" i="4" s="1"/>
  <c r="C31" i="3"/>
  <c r="J31" i="3" s="1"/>
  <c r="B22" i="2"/>
  <c r="B17" i="3"/>
  <c r="G17" i="3" s="1"/>
  <c r="B18" i="3" l="1"/>
  <c r="I3" i="3" s="1"/>
  <c r="B23" i="4"/>
  <c r="G18" i="3"/>
  <c r="H3" i="3" s="1"/>
  <c r="B38" i="2"/>
  <c r="B33" i="3"/>
  <c r="G33" i="3" s="1"/>
  <c r="C37" i="2"/>
  <c r="C38" i="4" s="1"/>
  <c r="C32" i="3"/>
  <c r="J32" i="3" s="1"/>
  <c r="C21" i="2"/>
  <c r="C22" i="4" s="1"/>
  <c r="C16" i="3"/>
  <c r="J16" i="3" s="1"/>
  <c r="B34" i="3" l="1"/>
  <c r="I20" i="3" s="1"/>
  <c r="B39" i="4"/>
  <c r="G34" i="3"/>
  <c r="H20" i="3" s="1"/>
  <c r="C22" i="2"/>
  <c r="C23" i="4" s="1"/>
  <c r="C17" i="3"/>
  <c r="J17" i="3" s="1"/>
  <c r="C38" i="2"/>
  <c r="C39" i="4" s="1"/>
  <c r="C33" i="3"/>
  <c r="J33" i="3" s="1"/>
  <c r="C39" i="2" l="1"/>
  <c r="C40" i="4" s="1"/>
  <c r="C34" i="3"/>
  <c r="J34" i="3" s="1"/>
  <c r="C23" i="2"/>
  <c r="C18" i="3"/>
  <c r="J18" i="3" s="1"/>
  <c r="C19" i="3" l="1"/>
  <c r="J19" i="3" s="1"/>
  <c r="K3" i="3" s="1"/>
  <c r="C24" i="4"/>
  <c r="C40" i="2"/>
  <c r="C41" i="4" s="1"/>
  <c r="C35" i="3"/>
  <c r="J35" i="3" s="1"/>
  <c r="K20" i="3" s="1"/>
  <c r="C41" i="2" l="1"/>
  <c r="C42" i="4" s="1"/>
  <c r="C36" i="3"/>
  <c r="J36" i="3" s="1"/>
  <c r="C42" i="2" l="1"/>
  <c r="C43" i="4" s="1"/>
  <c r="C37" i="3"/>
  <c r="J37" i="3" s="1"/>
  <c r="C43" i="2" l="1"/>
  <c r="C44" i="4" s="1"/>
  <c r="C38" i="3"/>
  <c r="J38" i="3" s="1"/>
  <c r="C44" i="2" l="1"/>
  <c r="C45" i="4" s="1"/>
  <c r="C39" i="3"/>
  <c r="J39" i="3" s="1"/>
  <c r="C45" i="2" l="1"/>
  <c r="C46" i="4" s="1"/>
  <c r="C40" i="3"/>
  <c r="J40" i="3" s="1"/>
  <c r="C46" i="2" l="1"/>
  <c r="C47" i="4" s="1"/>
  <c r="C41" i="3"/>
  <c r="J41" i="3" s="1"/>
  <c r="C47" i="2" l="1"/>
  <c r="C48" i="4" s="1"/>
  <c r="C42" i="3"/>
  <c r="J42" i="3" s="1"/>
  <c r="C48" i="2" l="1"/>
  <c r="C49" i="4" s="1"/>
  <c r="C43" i="3"/>
  <c r="J43" i="3" s="1"/>
  <c r="C49" i="2" l="1"/>
  <c r="C50" i="4" s="1"/>
  <c r="C44" i="3"/>
  <c r="J44" i="3" s="1"/>
  <c r="C50" i="2" l="1"/>
  <c r="C51" i="4" s="1"/>
  <c r="C45" i="3"/>
  <c r="J45" i="3" s="1"/>
  <c r="C51" i="2" l="1"/>
  <c r="C52" i="4" s="1"/>
  <c r="C46" i="3"/>
  <c r="J46" i="3" s="1"/>
  <c r="C52" i="2" l="1"/>
  <c r="C53" i="4" s="1"/>
  <c r="C47" i="3"/>
  <c r="J47" i="3" s="1"/>
  <c r="C53" i="2" l="1"/>
  <c r="C54" i="4" s="1"/>
  <c r="C48" i="3"/>
  <c r="J48" i="3" s="1"/>
  <c r="C54" i="2" l="1"/>
  <c r="C55" i="4" s="1"/>
  <c r="C49" i="3"/>
  <c r="J49" i="3" s="1"/>
  <c r="C55" i="2" l="1"/>
  <c r="C56" i="4" s="1"/>
  <c r="C50" i="3"/>
  <c r="J50" i="3" s="1"/>
  <c r="C56" i="2" l="1"/>
  <c r="C57" i="4" s="1"/>
  <c r="C51" i="3"/>
  <c r="J51" i="3" s="1"/>
  <c r="K36" i="3" s="1"/>
  <c r="C57" i="2" l="1"/>
  <c r="C58" i="4" s="1"/>
  <c r="C52" i="3"/>
  <c r="J52" i="3" s="1"/>
  <c r="C58" i="2" l="1"/>
  <c r="C59" i="4" s="1"/>
  <c r="C53" i="3"/>
  <c r="J53" i="3" s="1"/>
  <c r="C59" i="2" l="1"/>
  <c r="C60" i="4" s="1"/>
  <c r="C54" i="3"/>
  <c r="J54" i="3" s="1"/>
  <c r="C60" i="2" l="1"/>
  <c r="C61" i="4" s="1"/>
  <c r="C55" i="3"/>
  <c r="J55" i="3" s="1"/>
  <c r="C61" i="2" l="1"/>
  <c r="C62" i="4" s="1"/>
  <c r="C56" i="3"/>
  <c r="J56" i="3" s="1"/>
  <c r="C62" i="2" l="1"/>
  <c r="C63" i="4" s="1"/>
  <c r="C57" i="3"/>
  <c r="J57" i="3" s="1"/>
  <c r="C63" i="2" l="1"/>
  <c r="C64" i="4" s="1"/>
  <c r="C58" i="3"/>
  <c r="J58" i="3" s="1"/>
  <c r="C64" i="2" l="1"/>
  <c r="C65" i="4" s="1"/>
  <c r="C59" i="3"/>
  <c r="J59" i="3" s="1"/>
  <c r="C65" i="2" l="1"/>
  <c r="C66" i="4" s="1"/>
  <c r="C60" i="3"/>
  <c r="J60" i="3" s="1"/>
  <c r="C66" i="2" l="1"/>
  <c r="C67" i="4" s="1"/>
  <c r="C61" i="3"/>
  <c r="J61" i="3" s="1"/>
  <c r="C67" i="2" l="1"/>
  <c r="C68" i="4" s="1"/>
  <c r="C62" i="3"/>
  <c r="J62" i="3" s="1"/>
  <c r="C68" i="2" l="1"/>
  <c r="C69" i="4" s="1"/>
  <c r="C63" i="3"/>
  <c r="J63" i="3" s="1"/>
  <c r="C69" i="2" l="1"/>
  <c r="C70" i="4" s="1"/>
  <c r="C64" i="3"/>
  <c r="J64" i="3" s="1"/>
  <c r="C70" i="2" l="1"/>
  <c r="C71" i="4" s="1"/>
  <c r="C65" i="3"/>
  <c r="J65" i="3" s="1"/>
  <c r="C71" i="2" l="1"/>
  <c r="C72" i="4" s="1"/>
  <c r="C66" i="3"/>
  <c r="J66" i="3" s="1"/>
  <c r="C72" i="2" l="1"/>
  <c r="C67" i="3"/>
  <c r="J67" i="3" s="1"/>
  <c r="K52" i="3" s="1"/>
  <c r="C68" i="3" l="1"/>
  <c r="C73" i="4"/>
</calcChain>
</file>

<file path=xl/sharedStrings.xml><?xml version="1.0" encoding="utf-8"?>
<sst xmlns="http://schemas.openxmlformats.org/spreadsheetml/2006/main" count="435" uniqueCount="198">
  <si>
    <t>key</t>
  </si>
  <si>
    <t>dia</t>
  </si>
  <si>
    <t>x</t>
  </si>
  <si>
    <t>y</t>
  </si>
  <si>
    <t>h =</t>
  </si>
  <si>
    <t>w =</t>
  </si>
  <si>
    <t>Cx</t>
  </si>
  <si>
    <t>Cy</t>
  </si>
  <si>
    <t>left arrow</t>
  </si>
  <si>
    <t>dx</t>
  </si>
  <si>
    <t>+</t>
  </si>
  <si>
    <t>-</t>
  </si>
  <si>
    <t>£</t>
  </si>
  <si>
    <t>CLR</t>
  </si>
  <si>
    <t>INST</t>
  </si>
  <si>
    <t>F1</t>
  </si>
  <si>
    <t>avg(dx)</t>
  </si>
  <si>
    <t>geo avg</t>
  </si>
  <si>
    <t>med(dx)</t>
  </si>
  <si>
    <t>CONTROL</t>
  </si>
  <si>
    <t>Q</t>
  </si>
  <si>
    <t>W</t>
  </si>
  <si>
    <t>E</t>
  </si>
  <si>
    <t>R</t>
  </si>
  <si>
    <t>T</t>
  </si>
  <si>
    <t>Y</t>
  </si>
  <si>
    <t>U</t>
  </si>
  <si>
    <t>O</t>
  </si>
  <si>
    <t>P</t>
  </si>
  <si>
    <t>@</t>
  </si>
  <si>
    <t>*</t>
  </si>
  <si>
    <t>up arrow</t>
  </si>
  <si>
    <t>RESTORE</t>
  </si>
  <si>
    <t>avg(y)</t>
  </si>
  <si>
    <t>median(y)</t>
  </si>
  <si>
    <t>row5</t>
  </si>
  <si>
    <t>xoffs</t>
  </si>
  <si>
    <t>F3</t>
  </si>
  <si>
    <t>RUN</t>
  </si>
  <si>
    <t>SHIFT LOCK</t>
  </si>
  <si>
    <t>A</t>
  </si>
  <si>
    <t>D</t>
  </si>
  <si>
    <t>F</t>
  </si>
  <si>
    <t>G</t>
  </si>
  <si>
    <t>H</t>
  </si>
  <si>
    <t>J</t>
  </si>
  <si>
    <t>K</t>
  </si>
  <si>
    <t>L</t>
  </si>
  <si>
    <t>[</t>
  </si>
  <si>
    <t>]</t>
  </si>
  <si>
    <t>equals</t>
  </si>
  <si>
    <t>RETURN</t>
  </si>
  <si>
    <t>F5</t>
  </si>
  <si>
    <t>row4</t>
  </si>
  <si>
    <t>S</t>
  </si>
  <si>
    <t>row3</t>
  </si>
  <si>
    <t>C=</t>
  </si>
  <si>
    <t>X</t>
  </si>
  <si>
    <t>Z</t>
  </si>
  <si>
    <t>C</t>
  </si>
  <si>
    <t>V</t>
  </si>
  <si>
    <t>B</t>
  </si>
  <si>
    <t>N</t>
  </si>
  <si>
    <t>M</t>
  </si>
  <si>
    <t>,</t>
  </si>
  <si>
    <t>.</t>
  </si>
  <si>
    <t>/</t>
  </si>
  <si>
    <t>Shift Left</t>
  </si>
  <si>
    <t>Shift Right</t>
  </si>
  <si>
    <t>CRSR up/dn</t>
  </si>
  <si>
    <t>CRSR l/r</t>
  </si>
  <si>
    <t>F7</t>
  </si>
  <si>
    <t>dy</t>
  </si>
  <si>
    <t>row2</t>
  </si>
  <si>
    <t>x(F-Key) avg</t>
  </si>
  <si>
    <t>x(F-Key) med</t>
  </si>
  <si>
    <t>Space</t>
  </si>
  <si>
    <t>row1</t>
  </si>
  <si>
    <t>y(5)</t>
  </si>
  <si>
    <t>y(4)</t>
  </si>
  <si>
    <t>y(3)</t>
  </si>
  <si>
    <t>y(2)</t>
  </si>
  <si>
    <t>y(1)</t>
  </si>
  <si>
    <t>avg(dy)</t>
  </si>
  <si>
    <t>geo(dy)</t>
  </si>
  <si>
    <t>dx(RETURN)</t>
  </si>
  <si>
    <t>dx(sh.l.)</t>
  </si>
  <si>
    <t>dx(sh.r)</t>
  </si>
  <si>
    <t>avg</t>
  </si>
  <si>
    <t>dx avg(row5)</t>
  </si>
  <si>
    <t>dx avg(row4)</t>
  </si>
  <si>
    <t>dx avg(row3)</t>
  </si>
  <si>
    <t>dx avg(row2)</t>
  </si>
  <si>
    <t>Faktor</t>
  </si>
  <si>
    <t>Errechnet</t>
  </si>
  <si>
    <t>Abweichungen</t>
  </si>
  <si>
    <t>1,07"</t>
  </si>
  <si>
    <t>0,51"</t>
  </si>
  <si>
    <t>5,57"</t>
  </si>
  <si>
    <r>
      <rPr>
        <sz val="11"/>
        <color theme="1"/>
        <rFont val="Wingdings 3"/>
        <family val="1"/>
        <charset val="2"/>
      </rPr>
      <t>r</t>
    </r>
    <r>
      <rPr>
        <sz val="11"/>
        <color theme="1"/>
        <rFont val="Futura Lt BT"/>
        <family val="2"/>
      </rPr>
      <t>x²</t>
    </r>
  </si>
  <si>
    <r>
      <rPr>
        <sz val="11"/>
        <color theme="1"/>
        <rFont val="Calibri"/>
        <family val="2"/>
      </rPr>
      <t>Σ</t>
    </r>
    <r>
      <rPr>
        <sz val="11"/>
        <color theme="1"/>
        <rFont val="Wingdings 3"/>
        <family val="1"/>
        <charset val="2"/>
      </rPr>
      <t>r</t>
    </r>
    <r>
      <rPr>
        <sz val="11"/>
        <color theme="1"/>
        <rFont val="Futura Lt BT"/>
        <family val="2"/>
      </rPr>
      <t>x²</t>
    </r>
  </si>
  <si>
    <r>
      <rPr>
        <sz val="11"/>
        <color theme="1"/>
        <rFont val="Wingdings 3"/>
        <family val="1"/>
        <charset val="2"/>
      </rPr>
      <t>r</t>
    </r>
    <r>
      <rPr>
        <sz val="11"/>
        <color theme="1"/>
        <rFont val="Calibri Light"/>
        <family val="2"/>
        <scheme val="major"/>
      </rPr>
      <t>y</t>
    </r>
    <r>
      <rPr>
        <sz val="11"/>
        <color theme="1"/>
        <rFont val="Futura Lt BT"/>
        <family val="2"/>
      </rPr>
      <t>²</t>
    </r>
  </si>
  <si>
    <r>
      <t>Σ</t>
    </r>
    <r>
      <rPr>
        <sz val="11"/>
        <color theme="1"/>
        <rFont val="Wingdings 3"/>
        <family val="1"/>
        <charset val="2"/>
      </rPr>
      <t>r</t>
    </r>
    <r>
      <rPr>
        <sz val="11"/>
        <color theme="1"/>
        <rFont val="Calibri Light"/>
        <family val="2"/>
      </rPr>
      <t>y²</t>
    </r>
  </si>
  <si>
    <t>h(pcb) =</t>
  </si>
  <si>
    <r>
      <rPr>
        <sz val="11"/>
        <color theme="1"/>
        <rFont val="Calibri Light"/>
        <family val="2"/>
      </rPr>
      <t>Δ</t>
    </r>
    <r>
      <rPr>
        <sz val="12.65"/>
        <color theme="1"/>
        <rFont val="Futura Lt BT"/>
        <family val="2"/>
      </rPr>
      <t>h/2 =</t>
    </r>
  </si>
  <si>
    <t>Reference</t>
  </si>
  <si>
    <t>SW1</t>
  </si>
  <si>
    <t>SW2</t>
  </si>
  <si>
    <t>SW3</t>
  </si>
  <si>
    <t>SW4</t>
  </si>
  <si>
    <t>SW5</t>
  </si>
  <si>
    <t>SW6</t>
  </si>
  <si>
    <t>SW7</t>
  </si>
  <si>
    <t>SW8</t>
  </si>
  <si>
    <t>SW9</t>
  </si>
  <si>
    <t>SW10</t>
  </si>
  <si>
    <t>SW11</t>
  </si>
  <si>
    <t>SW12</t>
  </si>
  <si>
    <t>SW13</t>
  </si>
  <si>
    <t>SW14</t>
  </si>
  <si>
    <t>SW15</t>
  </si>
  <si>
    <t>SW16</t>
  </si>
  <si>
    <t>SW17</t>
  </si>
  <si>
    <t>SW18</t>
  </si>
  <si>
    <t>SW19</t>
  </si>
  <si>
    <t>SW20</t>
  </si>
  <si>
    <t>SW21</t>
  </si>
  <si>
    <t>SW22</t>
  </si>
  <si>
    <t>SW23</t>
  </si>
  <si>
    <t>SW24</t>
  </si>
  <si>
    <t>SW25</t>
  </si>
  <si>
    <t>SW26</t>
  </si>
  <si>
    <t>SW27</t>
  </si>
  <si>
    <t>SW28</t>
  </si>
  <si>
    <t>SW29</t>
  </si>
  <si>
    <t>SW30</t>
  </si>
  <si>
    <t>SW31</t>
  </si>
  <si>
    <t>SW32</t>
  </si>
  <si>
    <t>SW33</t>
  </si>
  <si>
    <t>SW34</t>
  </si>
  <si>
    <t>SW35</t>
  </si>
  <si>
    <t>SW36</t>
  </si>
  <si>
    <t>SW37</t>
  </si>
  <si>
    <t>SW38</t>
  </si>
  <si>
    <t>SW39</t>
  </si>
  <si>
    <t>SW40</t>
  </si>
  <si>
    <t>SW41</t>
  </si>
  <si>
    <t>SW42</t>
  </si>
  <si>
    <t>SW43</t>
  </si>
  <si>
    <t>SW44</t>
  </si>
  <si>
    <t>SW45</t>
  </si>
  <si>
    <t>SW46</t>
  </si>
  <si>
    <t>SW47</t>
  </si>
  <si>
    <t>SW48</t>
  </si>
  <si>
    <t>SW49</t>
  </si>
  <si>
    <t>SW50</t>
  </si>
  <si>
    <t>SW51</t>
  </si>
  <si>
    <t>SW52</t>
  </si>
  <si>
    <t>SW53</t>
  </si>
  <si>
    <t>SW54</t>
  </si>
  <si>
    <t>SW55</t>
  </si>
  <si>
    <t>SW56</t>
  </si>
  <si>
    <t>SW57</t>
  </si>
  <si>
    <t>SW58</t>
  </si>
  <si>
    <t>SW59</t>
  </si>
  <si>
    <t>SW60</t>
  </si>
  <si>
    <t>SW61</t>
  </si>
  <si>
    <t>SW62</t>
  </si>
  <si>
    <t>SW63</t>
  </si>
  <si>
    <t>SW64</t>
  </si>
  <si>
    <t>SW65</t>
  </si>
  <si>
    <t>SW66</t>
  </si>
  <si>
    <t>row</t>
  </si>
  <si>
    <t>col</t>
  </si>
  <si>
    <t>I</t>
  </si>
  <si>
    <t>GND</t>
  </si>
  <si>
    <t>width</t>
  </si>
  <si>
    <t>space</t>
  </si>
  <si>
    <t>return</t>
  </si>
  <si>
    <t>plunger dist</t>
  </si>
  <si>
    <t>control</t>
  </si>
  <si>
    <t>shift.l</t>
  </si>
  <si>
    <t>shift.r</t>
  </si>
  <si>
    <t>restore</t>
  </si>
  <si>
    <t>f1</t>
  </si>
  <si>
    <t>f3</t>
  </si>
  <si>
    <t>f5</t>
  </si>
  <si>
    <t>f7</t>
  </si>
  <si>
    <t>center offs</t>
  </si>
  <si>
    <t>all others</t>
  </si>
  <si>
    <t>width(U)</t>
  </si>
  <si>
    <t>Stdev(dx)</t>
  </si>
  <si>
    <t>Stdev(y)</t>
  </si>
  <si>
    <t>Stdev</t>
  </si>
  <si>
    <t>measured</t>
  </si>
  <si>
    <t>Spalte1</t>
  </si>
  <si>
    <t>mm</t>
  </si>
  <si>
    <t>0,7"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</si>
</sst>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theme="1"/>
      <name val="Futura Lt BT"/>
      <family val="2"/>
    </font>
    <font>
      <sz val="11"/>
      <color rgb="FFFF0000"/>
      <name val="Futura Lt BT"/>
      <family val="2"/>
    </font>
    <font>
      <sz val="11"/>
      <color theme="9"/>
      <name val="Futura Lt BT"/>
      <family val="2"/>
    </font>
    <font>
      <b/>
      <sz val="11"/>
      <color rgb="FFFF0000"/>
      <name val="Futura Lt BT"/>
      <family val="2"/>
    </font>
    <font>
      <b/>
      <sz val="11"/>
      <color theme="1"/>
      <name val="Futura Lt BT"/>
      <family val="2"/>
    </font>
    <font>
      <sz val="11"/>
      <name val="Futura Lt BT"/>
      <family val="2"/>
    </font>
    <font>
      <sz val="11"/>
      <color theme="1"/>
      <name val="Wingdings 3"/>
      <family val="1"/>
      <charset val="2"/>
    </font>
    <font>
      <sz val="11"/>
      <color theme="1"/>
      <name val="Futura Lt BT"/>
      <family val="1"/>
      <charset val="2"/>
    </font>
    <font>
      <sz val="11"/>
      <color theme="1"/>
      <name val="Calibri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  <scheme val="major"/>
    </font>
    <font>
      <sz val="12.65"/>
      <color theme="1"/>
      <name val="Futura Lt BT"/>
      <family val="2"/>
    </font>
    <font>
      <sz val="8"/>
      <name val="Futura Lt B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0" fontId="1" fillId="0" borderId="0" xfId="0" applyFont="1"/>
    <xf numFmtId="0" fontId="3" fillId="0" borderId="0" xfId="0" applyFont="1"/>
    <xf numFmtId="2" fontId="0" fillId="0" borderId="0" xfId="0" applyNumberFormat="1"/>
    <xf numFmtId="4" fontId="0" fillId="0" borderId="0" xfId="0" applyNumberFormat="1" applyAlignment="1">
      <alignment horizontal="left"/>
    </xf>
    <xf numFmtId="2" fontId="4" fillId="0" borderId="0" xfId="0" applyNumberFormat="1" applyFont="1"/>
    <xf numFmtId="0" fontId="0" fillId="0" borderId="0" xfId="0" applyAlignment="1">
      <alignment horizontal="right"/>
    </xf>
    <xf numFmtId="2" fontId="4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</cellXfs>
  <cellStyles count="1">
    <cellStyle name="Standard" xfId="0" builtinId="0"/>
  </cellStyles>
  <dxfs count="31">
    <dxf>
      <numFmt numFmtId="2" formatCode="0.00"/>
      <alignment horizontal="left" vertical="bottom" textRotation="0" wrapText="0" indent="0" justifyLastLine="0" shrinkToFit="0" readingOrder="0"/>
    </dxf>
    <dxf>
      <font>
        <color rgb="FFFF0000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CA3773-15EE-425E-9D6A-ABEE5BD5E6F5}" name="Tabelle1" displayName="Tabelle1" ref="A5:H71" totalsRowShown="0" headerRowDxfId="30">
  <autoFilter ref="A5:H71" xr:uid="{B4CA3773-15EE-425E-9D6A-ABEE5BD5E6F5}"/>
  <tableColumns count="8">
    <tableColumn id="1" xr3:uid="{4161CB8E-813D-48F2-BF2F-4EE0E5437E5A}" name="key" dataDxfId="29"/>
    <tableColumn id="2" xr3:uid="{0028F5D1-7B01-4F38-9562-44606EF51AF6}" name="dia" dataDxfId="28"/>
    <tableColumn id="3" xr3:uid="{B9DA34D3-C69D-4EAE-8157-1124FCDB5A99}" name="x" dataDxfId="27"/>
    <tableColumn id="4" xr3:uid="{E53C505B-83BC-47B3-9EFA-0615D1B220B7}" name="y" dataDxfId="26"/>
    <tableColumn id="5" xr3:uid="{A54A450E-7D02-46DA-B5BC-C9EB1474F8C5}" name="Cx" dataDxfId="25"/>
    <tableColumn id="6" xr3:uid="{EAAF52DA-466F-4A52-8A7B-E8A8DE9FE994}" name="Cy" dataDxfId="24"/>
    <tableColumn id="7" xr3:uid="{FFF7F14D-1A4A-4F57-B23D-9098F28E6AED}" name="dx" dataDxfId="23">
      <calculatedColumnFormula>Tabelle1[[#This Row],[x]]-C5</calculatedColumnFormula>
    </tableColumn>
    <tableColumn id="8" xr3:uid="{434B1508-44A3-4366-A4A7-AF4278E7BE58}" name="Spalte1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B32152-F7BB-4933-B2B2-583795E8BCD1}" name="Tabelle13" displayName="Tabelle13" ref="A6:E72" totalsRowShown="0" headerRowDxfId="22">
  <autoFilter ref="A6:E72" xr:uid="{3DB32152-F7BB-4933-B2B2-583795E8BCD1}"/>
  <tableColumns count="5">
    <tableColumn id="1" xr3:uid="{833E02C0-F701-4AF6-ABAA-823D60874563}" name="key" dataDxfId="21"/>
    <tableColumn id="3" xr3:uid="{89C2CF96-0C42-4183-BA46-5FBD04C69F98}" name="x" dataDxfId="20">
      <calculatedColumnFormula>C4</calculatedColumnFormula>
    </tableColumn>
    <tableColumn id="4" xr3:uid="{0B509190-9F58-4CA3-AE01-CA77879B1F59}" name="y" dataDxfId="19">
      <calculatedColumnFormula>D4</calculatedColumnFormula>
    </tableColumn>
    <tableColumn id="5" xr3:uid="{555ED4FE-761E-4BC4-851F-28738AE4D34C}" name="Cx" dataDxfId="18"/>
    <tableColumn id="6" xr3:uid="{1AB2BC29-D053-41E1-A1A8-1EB5E68E98E1}" name="Cy" dataDxf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A6F2441-607A-4824-88BA-136249F8D1B3}" name="Tabelle134" displayName="Tabelle134" ref="A2:E68" totalsRowShown="0" headerRowDxfId="16">
  <autoFilter ref="A2:E68" xr:uid="{0A6F2441-607A-4824-88BA-136249F8D1B3}"/>
  <tableColumns count="5">
    <tableColumn id="1" xr3:uid="{8878012D-11BB-4720-9653-751F2AC2BB26}" name="key" dataDxfId="15"/>
    <tableColumn id="3" xr3:uid="{77F29A8E-116E-440D-818A-D76C852931B5}" name="x" dataDxfId="14">
      <calculatedColumnFormula>calculated!B7-measured!C6</calculatedColumnFormula>
    </tableColumn>
    <tableColumn id="4" xr3:uid="{4131EA25-569F-449C-BB57-31E3D26EFDBF}" name="y" dataDxfId="13">
      <calculatedColumnFormula>calculated!C7-measured!D6</calculatedColumnFormula>
    </tableColumn>
    <tableColumn id="5" xr3:uid="{35754015-BC50-43B0-A577-45190EA66EAE}" name="Cx" dataDxfId="12"/>
    <tableColumn id="6" xr3:uid="{4D7FDD2C-BBE7-4CB9-8C76-E67BE1ECDCD5}" name="Cy" dataDxfId="1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753DCB3-C938-4F18-B6B6-24BCB0F8DE61}" name="Tabelle135" displayName="Tabelle135" ref="A7:H73" totalsRowShown="0" headerRowDxfId="10">
  <autoFilter ref="A7:H73" xr:uid="{1753DCB3-C938-4F18-B6B6-24BCB0F8DE61}"/>
  <tableColumns count="8">
    <tableColumn id="1" xr3:uid="{9FD24102-FFC0-4A5D-A389-1204615C7371}" name="key" dataDxfId="9"/>
    <tableColumn id="3" xr3:uid="{EA46EDAE-D5BB-4AD7-B635-599D60BAA0A5}" name="x" dataDxfId="8">
      <calculatedColumnFormula>calculated!B7</calculatedColumnFormula>
    </tableColumn>
    <tableColumn id="4" xr3:uid="{53AB9D46-DE23-4B98-8396-50C76D3B27A5}" name="y" dataDxfId="7">
      <calculatedColumnFormula>$B$2-calculated!C7-$B$4</calculatedColumnFormula>
    </tableColumn>
    <tableColumn id="5" xr3:uid="{2050FBA4-C606-4451-93E8-6D258BF1F7B3}" name="Cx" dataDxfId="6"/>
    <tableColumn id="6" xr3:uid="{29C64B63-760E-4307-AFE2-2B889EF5A46A}" name="Cy" dataDxfId="5"/>
    <tableColumn id="2" xr3:uid="{D92BB1EC-DC32-48C0-A15E-D413DEE7F1BD}" name="Reference" dataDxfId="4"/>
    <tableColumn id="7" xr3:uid="{68BBFACB-5365-4369-91F8-14B221567C93}" name="row" dataDxfId="3"/>
    <tableColumn id="8" xr3:uid="{78031B0D-30F1-42E7-AEF8-0B8FD011FFEA}" name="col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C2576-84B4-4538-8EB0-73D568CD1274}">
  <dimension ref="A1:O154"/>
  <sheetViews>
    <sheetView zoomScale="115" zoomScaleNormal="115" workbookViewId="0">
      <selection activeCell="D3" sqref="D3"/>
    </sheetView>
  </sheetViews>
  <sheetFormatPr baseColWidth="10" defaultRowHeight="13.8"/>
  <cols>
    <col min="2" max="6" width="11.19921875" style="1"/>
  </cols>
  <sheetData>
    <row r="1" spans="1:12">
      <c r="A1" t="s">
        <v>4</v>
      </c>
      <c r="B1" s="1">
        <v>97.2</v>
      </c>
      <c r="C1" s="1" t="s">
        <v>196</v>
      </c>
    </row>
    <row r="2" spans="1:12">
      <c r="A2" t="s">
        <v>103</v>
      </c>
      <c r="B2" s="1">
        <v>96.4</v>
      </c>
      <c r="C2" s="1" t="s">
        <v>196</v>
      </c>
    </row>
    <row r="3" spans="1:12" ht="16.2">
      <c r="A3" t="s">
        <v>104</v>
      </c>
      <c r="B3" s="1">
        <f>(B1-B2)/2</f>
        <v>0.39999999999999858</v>
      </c>
      <c r="C3" s="1" t="s">
        <v>196</v>
      </c>
    </row>
    <row r="4" spans="1:12">
      <c r="A4" t="s">
        <v>5</v>
      </c>
      <c r="B4" s="1">
        <f>269.65+125.25-9.3</f>
        <v>385.59999999999997</v>
      </c>
      <c r="C4" s="1" t="s">
        <v>196</v>
      </c>
    </row>
    <row r="5" spans="1:12">
      <c r="A5" t="s">
        <v>0</v>
      </c>
      <c r="B5" s="1" t="s">
        <v>1</v>
      </c>
      <c r="C5" s="1" t="s">
        <v>2</v>
      </c>
      <c r="D5" s="1" t="s">
        <v>3</v>
      </c>
      <c r="E5" s="1" t="s">
        <v>6</v>
      </c>
      <c r="F5" s="1" t="s">
        <v>7</v>
      </c>
      <c r="G5" s="1" t="s">
        <v>9</v>
      </c>
      <c r="H5" s="9" t="s">
        <v>195</v>
      </c>
    </row>
    <row r="6" spans="1:12">
      <c r="A6" s="1" t="s">
        <v>8</v>
      </c>
      <c r="B6" s="2">
        <v>9.25</v>
      </c>
      <c r="C6" s="2">
        <f>22.4-B6/2</f>
        <v>17.774999999999999</v>
      </c>
      <c r="D6" s="2">
        <f>15.4-B6/2</f>
        <v>10.775</v>
      </c>
      <c r="E6" s="1">
        <v>1</v>
      </c>
      <c r="F6" s="1">
        <v>5</v>
      </c>
      <c r="G6" s="2">
        <f>0</f>
        <v>0</v>
      </c>
      <c r="H6" s="2"/>
    </row>
    <row r="7" spans="1:12">
      <c r="A7" s="1">
        <v>1</v>
      </c>
      <c r="B7" s="2">
        <v>9.3000000000000007</v>
      </c>
      <c r="C7" s="2">
        <f>41.3-B7/2</f>
        <v>36.65</v>
      </c>
      <c r="D7" s="2">
        <f>15.4-B7/2</f>
        <v>10.75</v>
      </c>
      <c r="E7" s="1">
        <v>2</v>
      </c>
      <c r="F7" s="1">
        <v>5</v>
      </c>
      <c r="G7" s="2">
        <f>Tabelle1[[#This Row],[x]]-C6</f>
        <v>18.875</v>
      </c>
      <c r="H7" s="2"/>
    </row>
    <row r="8" spans="1:12">
      <c r="A8" s="1">
        <v>2</v>
      </c>
      <c r="B8" s="2">
        <v>9.3000000000000007</v>
      </c>
      <c r="C8" s="2">
        <f>60.3-B8/2</f>
        <v>55.65</v>
      </c>
      <c r="D8" s="2">
        <f>15.5-B8/2</f>
        <v>10.85</v>
      </c>
      <c r="E8" s="1">
        <v>3</v>
      </c>
      <c r="F8" s="1">
        <v>5</v>
      </c>
      <c r="G8" s="2">
        <f>Tabelle1[[#This Row],[x]]-C7</f>
        <v>19</v>
      </c>
      <c r="H8" s="2"/>
    </row>
    <row r="9" spans="1:12">
      <c r="A9" s="1">
        <v>3</v>
      </c>
      <c r="B9" s="2">
        <v>9.3000000000000007</v>
      </c>
      <c r="C9" s="2">
        <f>79.4-B9/2</f>
        <v>74.75</v>
      </c>
      <c r="D9" s="2">
        <f>15.3-B9/2</f>
        <v>10.65</v>
      </c>
      <c r="E9" s="1">
        <v>4</v>
      </c>
      <c r="F9" s="1">
        <v>5</v>
      </c>
      <c r="G9" s="2">
        <f>Tabelle1[[#This Row],[x]]-C8</f>
        <v>19.100000000000001</v>
      </c>
      <c r="H9" s="2"/>
    </row>
    <row r="10" spans="1:12">
      <c r="A10" s="1">
        <v>4</v>
      </c>
      <c r="B10" s="2">
        <v>9.3000000000000007</v>
      </c>
      <c r="C10" s="2">
        <f>98.4-Tabelle1[[#This Row],[dia]]/2</f>
        <v>93.75</v>
      </c>
      <c r="D10" s="2">
        <f>15.3-Tabelle1[[#This Row],[dia]]/2</f>
        <v>10.65</v>
      </c>
      <c r="E10" s="1">
        <v>5</v>
      </c>
      <c r="F10" s="1">
        <v>5</v>
      </c>
      <c r="G10" s="2">
        <f>Tabelle1[[#This Row],[x]]-C9</f>
        <v>19</v>
      </c>
      <c r="H10" s="2"/>
    </row>
    <row r="11" spans="1:12">
      <c r="A11" s="1">
        <v>5</v>
      </c>
      <c r="B11" s="2">
        <v>9.25</v>
      </c>
      <c r="C11" s="2">
        <f>117.4-Tabelle1[[#This Row],[dia]]/2</f>
        <v>112.77500000000001</v>
      </c>
      <c r="D11" s="2">
        <f>15.3-Tabelle1[[#This Row],[dia]]/2</f>
        <v>10.675000000000001</v>
      </c>
      <c r="E11" s="1">
        <v>6</v>
      </c>
      <c r="F11" s="1">
        <v>5</v>
      </c>
      <c r="G11" s="2">
        <f>Tabelle1[[#This Row],[x]]-C10</f>
        <v>19.025000000000006</v>
      </c>
      <c r="H11" s="2"/>
      <c r="I11" s="5" t="s">
        <v>35</v>
      </c>
    </row>
    <row r="12" spans="1:12">
      <c r="A12" s="1">
        <v>6</v>
      </c>
      <c r="B12" s="2">
        <v>9.3000000000000007</v>
      </c>
      <c r="C12" s="2">
        <f>136.55-Tabelle1[[#This Row],[dia]]/2</f>
        <v>131.9</v>
      </c>
      <c r="D12" s="2">
        <f>15.4-Tabelle1[[#This Row],[dia]]/2</f>
        <v>10.75</v>
      </c>
      <c r="E12" s="1">
        <v>7</v>
      </c>
      <c r="F12" s="1">
        <v>5</v>
      </c>
      <c r="G12" s="2">
        <f>Tabelle1[[#This Row],[x]]-C11</f>
        <v>19.125</v>
      </c>
      <c r="H12" s="2"/>
      <c r="I12" t="s">
        <v>16</v>
      </c>
      <c r="J12" t="s">
        <v>17</v>
      </c>
      <c r="K12" t="s">
        <v>18</v>
      </c>
      <c r="L12" t="s">
        <v>191</v>
      </c>
    </row>
    <row r="13" spans="1:12">
      <c r="A13" s="1">
        <v>7</v>
      </c>
      <c r="B13" s="2">
        <v>9.35</v>
      </c>
      <c r="C13" s="2">
        <f>155.45-Tabelle1[[#This Row],[dia]]/2</f>
        <v>150.77499999999998</v>
      </c>
      <c r="D13" s="2">
        <f>15.35-Tabelle1[[#This Row],[dia]]/2</f>
        <v>10.675000000000001</v>
      </c>
      <c r="E13" s="1">
        <v>8</v>
      </c>
      <c r="F13" s="1">
        <v>5</v>
      </c>
      <c r="G13" s="2">
        <f>Tabelle1[[#This Row],[x]]-C12</f>
        <v>18.874999999999972</v>
      </c>
      <c r="H13" s="2"/>
      <c r="I13" s="2">
        <f>SUM(G7:G20)/(E20-1)</f>
        <v>19.028571428571428</v>
      </c>
      <c r="J13" s="2">
        <f>(C21-C6)/15</f>
        <v>19.021666666666661</v>
      </c>
      <c r="K13" s="2">
        <f>MEDIAN(G7:G20)</f>
        <v>19</v>
      </c>
      <c r="L13" s="2">
        <f>STDEVP(G7:G21)</f>
        <v>0.13749747472429688</v>
      </c>
    </row>
    <row r="14" spans="1:12">
      <c r="A14" s="1">
        <v>8</v>
      </c>
      <c r="B14" s="2">
        <v>9.3000000000000007</v>
      </c>
      <c r="C14" s="2">
        <f>174.7-Tabelle1[[#This Row],[dia]]/2</f>
        <v>170.04999999999998</v>
      </c>
      <c r="D14" s="2">
        <f>15.45-Tabelle1[[#This Row],[dia]]/2</f>
        <v>10.799999999999999</v>
      </c>
      <c r="E14" s="1">
        <v>9</v>
      </c>
      <c r="F14" s="1">
        <v>5</v>
      </c>
      <c r="G14" s="2">
        <f>Tabelle1[[#This Row],[x]]-C13</f>
        <v>19.275000000000006</v>
      </c>
      <c r="H14" s="2"/>
    </row>
    <row r="15" spans="1:12">
      <c r="A15" s="1">
        <v>9</v>
      </c>
      <c r="B15" s="2">
        <v>9.3000000000000007</v>
      </c>
      <c r="C15" s="2">
        <f>193.75-Tabelle1[[#This Row],[dia]]/2</f>
        <v>189.1</v>
      </c>
      <c r="D15" s="2">
        <f>15.25-Tabelle1[[#This Row],[dia]]/2</f>
        <v>10.6</v>
      </c>
      <c r="E15" s="1">
        <v>10</v>
      </c>
      <c r="F15" s="1">
        <v>5</v>
      </c>
      <c r="G15" s="2">
        <f>Tabelle1[[#This Row],[x]]-C14</f>
        <v>19.050000000000011</v>
      </c>
      <c r="H15" s="2" t="s">
        <v>194</v>
      </c>
      <c r="I15" t="s">
        <v>33</v>
      </c>
      <c r="J15" t="s">
        <v>34</v>
      </c>
      <c r="K15" t="s">
        <v>192</v>
      </c>
    </row>
    <row r="16" spans="1:12">
      <c r="A16" s="1">
        <v>0</v>
      </c>
      <c r="B16" s="2">
        <v>9.35</v>
      </c>
      <c r="C16" s="2">
        <f>212.75-Tabelle1[[#This Row],[dia]]/2</f>
        <v>208.07499999999999</v>
      </c>
      <c r="D16" s="2">
        <f>15.45-Tabelle1[[#This Row],[dia]]/2</f>
        <v>10.774999999999999</v>
      </c>
      <c r="E16" s="1">
        <v>11</v>
      </c>
      <c r="F16" s="1">
        <v>5</v>
      </c>
      <c r="G16" s="2">
        <f>Tabelle1[[#This Row],[x]]-C15</f>
        <v>18.974999999999994</v>
      </c>
      <c r="H16" s="2"/>
      <c r="I16" s="2">
        <f>SUM(D6:D22)/E22</f>
        <v>10.727941176470589</v>
      </c>
      <c r="J16" s="2">
        <f>MEDIAN(D6:D22)</f>
        <v>10.75</v>
      </c>
      <c r="K16" s="2">
        <f>STDEVP(D6:D22)</f>
        <v>7.9002211873901412E-2</v>
      </c>
    </row>
    <row r="17" spans="1:12">
      <c r="A17" s="1" t="s">
        <v>10</v>
      </c>
      <c r="B17" s="2">
        <v>9.3000000000000007</v>
      </c>
      <c r="C17" s="2">
        <f>231.7-Tabelle1[[#This Row],[dia]]/2</f>
        <v>227.04999999999998</v>
      </c>
      <c r="D17" s="2">
        <f>15.4-Tabelle1[[#This Row],[dia]]/2</f>
        <v>10.75</v>
      </c>
      <c r="E17" s="1">
        <v>12</v>
      </c>
      <c r="F17" s="1">
        <v>5</v>
      </c>
      <c r="G17" s="2">
        <f>Tabelle1[[#This Row],[x]]-C16</f>
        <v>18.974999999999994</v>
      </c>
      <c r="H17" s="2"/>
    </row>
    <row r="18" spans="1:12">
      <c r="A18" s="1" t="s">
        <v>11</v>
      </c>
      <c r="B18" s="2">
        <v>9.3000000000000007</v>
      </c>
      <c r="C18" s="2">
        <f>250.6-Tabelle1[[#This Row],[dia]]/2</f>
        <v>245.95</v>
      </c>
      <c r="D18" s="2">
        <f>15.5-Tabelle1[[#This Row],[dia]]/2</f>
        <v>10.85</v>
      </c>
      <c r="E18" s="1">
        <v>13</v>
      </c>
      <c r="F18" s="1">
        <v>5</v>
      </c>
      <c r="G18" s="2">
        <f>Tabelle1[[#This Row],[x]]-C17</f>
        <v>18.900000000000006</v>
      </c>
      <c r="H18" s="2"/>
      <c r="I18" t="s">
        <v>36</v>
      </c>
    </row>
    <row r="19" spans="1:12">
      <c r="A19" s="1" t="s">
        <v>12</v>
      </c>
      <c r="B19" s="2">
        <v>9.35</v>
      </c>
      <c r="C19" s="2">
        <f>269.5-Tabelle1[[#This Row],[dia]]/2</f>
        <v>264.82499999999999</v>
      </c>
      <c r="D19" s="2">
        <f>15.35-Tabelle1[[#This Row],[dia]]/2</f>
        <v>10.675000000000001</v>
      </c>
      <c r="E19" s="1">
        <v>14</v>
      </c>
      <c r="F19" s="1">
        <v>5</v>
      </c>
      <c r="G19" s="2">
        <f>Tabelle1[[#This Row],[x]]-C18</f>
        <v>18.875</v>
      </c>
      <c r="H19" s="2"/>
      <c r="I19" s="2">
        <f>C6</f>
        <v>17.774999999999999</v>
      </c>
    </row>
    <row r="20" spans="1:12">
      <c r="A20" s="1" t="s">
        <v>13</v>
      </c>
      <c r="B20" s="2">
        <v>9.35</v>
      </c>
      <c r="C20" s="2">
        <f>288.85-Tabelle1[[#This Row],[dia]]/2</f>
        <v>284.17500000000001</v>
      </c>
      <c r="D20" s="2">
        <f>15.35-Tabelle1[[#This Row],[dia]]/2</f>
        <v>10.675000000000001</v>
      </c>
      <c r="E20" s="1">
        <v>15</v>
      </c>
      <c r="F20" s="1">
        <v>5</v>
      </c>
      <c r="G20" s="2">
        <f>Tabelle1[[#This Row],[x]]-C19</f>
        <v>19.350000000000023</v>
      </c>
      <c r="H20" s="2"/>
    </row>
    <row r="21" spans="1:12">
      <c r="A21" s="1" t="s">
        <v>14</v>
      </c>
      <c r="B21" s="2">
        <v>9.3000000000000007</v>
      </c>
      <c r="C21" s="3">
        <f>B4-87.15+Tabelle1[[#This Row],[dia]]/2</f>
        <v>303.09999999999991</v>
      </c>
      <c r="D21" s="2">
        <f>15.5-Tabelle1[[#This Row],[dia]]/2</f>
        <v>10.85</v>
      </c>
      <c r="E21" s="1">
        <v>16</v>
      </c>
      <c r="F21" s="1">
        <v>5</v>
      </c>
      <c r="G21" s="2">
        <f>Tabelle1[[#This Row],[x]]-C20</f>
        <v>18.924999999999898</v>
      </c>
      <c r="H21" s="2"/>
    </row>
    <row r="22" spans="1:12">
      <c r="A22" s="1" t="s">
        <v>15</v>
      </c>
      <c r="B22" s="2">
        <v>9.35</v>
      </c>
      <c r="C22" s="3">
        <f>B4-36.5+Tabelle1[[#This Row],[dia]]/2</f>
        <v>353.77499999999998</v>
      </c>
      <c r="D22" s="2">
        <f>15.3-Tabelle1[[#This Row],[dia]]/2</f>
        <v>10.625</v>
      </c>
      <c r="E22" s="1">
        <v>17</v>
      </c>
      <c r="F22" s="1">
        <v>5</v>
      </c>
      <c r="G22" s="2"/>
      <c r="H22" s="2"/>
    </row>
    <row r="23" spans="1:12">
      <c r="A23" s="1" t="s">
        <v>19</v>
      </c>
      <c r="B23" s="2">
        <v>9.3000000000000007</v>
      </c>
      <c r="C23" s="2">
        <f>31.85-Tabelle1[[#This Row],[dia]]/2</f>
        <v>27.200000000000003</v>
      </c>
      <c r="D23" s="2">
        <f>34.55-Tabelle1[[#This Row],[dia]]/2</f>
        <v>29.9</v>
      </c>
      <c r="E23" s="1">
        <v>1</v>
      </c>
      <c r="F23" s="1">
        <v>4</v>
      </c>
      <c r="G23" s="2">
        <v>0</v>
      </c>
      <c r="H23" s="2"/>
      <c r="I23" s="4" t="s">
        <v>53</v>
      </c>
    </row>
    <row r="24" spans="1:12">
      <c r="A24" s="1" t="s">
        <v>20</v>
      </c>
      <c r="B24" s="2">
        <v>9.1999999999999993</v>
      </c>
      <c r="C24" s="2">
        <f>50.85-Tabelle1[[#This Row],[dia]]/2</f>
        <v>46.25</v>
      </c>
      <c r="D24" s="2">
        <f>34.55-Tabelle1[[#This Row],[dia]]/2</f>
        <v>29.949999999999996</v>
      </c>
      <c r="E24" s="1">
        <v>2</v>
      </c>
      <c r="F24" s="1">
        <v>4</v>
      </c>
      <c r="G24" s="2">
        <f>Tabelle1[[#This Row],[x]]-C23</f>
        <v>19.049999999999997</v>
      </c>
      <c r="H24" s="2"/>
      <c r="I24" t="s">
        <v>16</v>
      </c>
      <c r="J24" t="s">
        <v>17</v>
      </c>
      <c r="K24" t="s">
        <v>18</v>
      </c>
      <c r="L24" t="s">
        <v>191</v>
      </c>
    </row>
    <row r="25" spans="1:12">
      <c r="A25" s="1" t="s">
        <v>21</v>
      </c>
      <c r="B25" s="2">
        <v>9.3000000000000007</v>
      </c>
      <c r="C25" s="2">
        <f>69.95-Tabelle1[[#This Row],[dia]]/2</f>
        <v>65.3</v>
      </c>
      <c r="D25" s="2">
        <f>34.45-Tabelle1[[#This Row],[dia]]/2</f>
        <v>29.800000000000004</v>
      </c>
      <c r="E25" s="1">
        <v>3</v>
      </c>
      <c r="F25" s="1">
        <v>4</v>
      </c>
      <c r="G25" s="2">
        <f>Tabelle1[[#This Row],[x]]-C24</f>
        <v>19.049999999999997</v>
      </c>
      <c r="H25" s="2"/>
      <c r="I25" s="2">
        <f>SUM(G24:G37)/14</f>
        <v>19.032142857142862</v>
      </c>
      <c r="J25" s="2">
        <f>(C37-C23)/14</f>
        <v>19.032142857142862</v>
      </c>
      <c r="K25" s="2">
        <f>MEDIAN(G24:G37)</f>
        <v>19.012500000000003</v>
      </c>
      <c r="L25" s="2">
        <f>STDEVP(G24:G37)</f>
        <v>0.17561844075919583</v>
      </c>
    </row>
    <row r="26" spans="1:12">
      <c r="A26" s="1" t="s">
        <v>22</v>
      </c>
      <c r="B26" s="2">
        <v>9.1999999999999993</v>
      </c>
      <c r="C26" s="2">
        <f>88.8-B25/2</f>
        <v>84.149999999999991</v>
      </c>
      <c r="D26" s="2">
        <f>34.4-Tabelle1[[#This Row],[dia]]/2</f>
        <v>29.799999999999997</v>
      </c>
      <c r="E26" s="1">
        <v>4</v>
      </c>
      <c r="F26" s="1">
        <v>4</v>
      </c>
      <c r="G26" s="2">
        <f>Tabelle1[[#This Row],[x]]-C25</f>
        <v>18.849999999999994</v>
      </c>
      <c r="H26" s="2"/>
    </row>
    <row r="27" spans="1:12">
      <c r="A27" s="1" t="s">
        <v>23</v>
      </c>
      <c r="B27" s="2">
        <v>9.25</v>
      </c>
      <c r="C27" s="2">
        <f>107.75-Tabelle1[[#This Row],[dia]]/2</f>
        <v>103.125</v>
      </c>
      <c r="D27" s="2">
        <f>34.4-Tabelle1[[#This Row],[dia]]/2</f>
        <v>29.774999999999999</v>
      </c>
      <c r="E27" s="1">
        <v>5</v>
      </c>
      <c r="F27" s="1">
        <v>4</v>
      </c>
      <c r="G27" s="2">
        <f>Tabelle1[[#This Row],[x]]-C26</f>
        <v>18.975000000000009</v>
      </c>
      <c r="H27" s="2"/>
      <c r="I27" t="s">
        <v>33</v>
      </c>
      <c r="J27" t="s">
        <v>34</v>
      </c>
      <c r="K27" t="s">
        <v>192</v>
      </c>
    </row>
    <row r="28" spans="1:12">
      <c r="A28" s="1" t="s">
        <v>24</v>
      </c>
      <c r="B28" s="2">
        <v>9.25</v>
      </c>
      <c r="C28" s="2">
        <f>126.7-Tabelle1[[#This Row],[dia]]/2</f>
        <v>122.075</v>
      </c>
      <c r="D28" s="2">
        <f>34.7-Tabelle1[[#This Row],[dia]]/2</f>
        <v>30.075000000000003</v>
      </c>
      <c r="E28" s="1">
        <v>6</v>
      </c>
      <c r="F28" s="1">
        <v>4</v>
      </c>
      <c r="G28" s="2">
        <f>Tabelle1[[#This Row],[x]]-C27</f>
        <v>18.950000000000003</v>
      </c>
      <c r="H28" s="2"/>
      <c r="I28" s="2">
        <f>SUM(D23:D38)/16</f>
        <v>29.810937499999998</v>
      </c>
      <c r="J28" s="2">
        <f>MEDIAN(D23:D38)</f>
        <v>29.8</v>
      </c>
      <c r="K28" s="2">
        <f>STDEVP(D23:D38)</f>
        <v>0.13168640246339111</v>
      </c>
    </row>
    <row r="29" spans="1:12">
      <c r="A29" s="1" t="s">
        <v>25</v>
      </c>
      <c r="B29" s="2">
        <v>9.3000000000000007</v>
      </c>
      <c r="C29" s="2">
        <f>146.1-Tabelle1[[#This Row],[dia]]/2</f>
        <v>141.44999999999999</v>
      </c>
      <c r="D29" s="2">
        <f>34.4-Tabelle1[[#This Row],[dia]]/2</f>
        <v>29.75</v>
      </c>
      <c r="E29" s="1">
        <v>7</v>
      </c>
      <c r="F29" s="1">
        <v>4</v>
      </c>
      <c r="G29" s="2">
        <f>Tabelle1[[#This Row],[x]]-C28</f>
        <v>19.374999999999986</v>
      </c>
      <c r="H29" s="2"/>
    </row>
    <row r="30" spans="1:12">
      <c r="A30" s="1" t="s">
        <v>26</v>
      </c>
      <c r="B30" s="2">
        <v>9.3000000000000007</v>
      </c>
      <c r="C30" s="2">
        <f>165.45-Tabelle1[[#This Row],[dia]]/2</f>
        <v>160.79999999999998</v>
      </c>
      <c r="D30" s="2">
        <f>34.5-Tabelle1[[#This Row],[dia]]/2</f>
        <v>29.85</v>
      </c>
      <c r="E30" s="1">
        <v>8</v>
      </c>
      <c r="F30" s="1">
        <v>4</v>
      </c>
      <c r="G30" s="2">
        <f>Tabelle1[[#This Row],[x]]-C29</f>
        <v>19.349999999999994</v>
      </c>
      <c r="H30" s="2"/>
      <c r="I30" t="s">
        <v>72</v>
      </c>
      <c r="J30" t="s">
        <v>72</v>
      </c>
    </row>
    <row r="31" spans="1:12">
      <c r="A31" s="1" t="s">
        <v>174</v>
      </c>
      <c r="B31" s="2">
        <v>9.3000000000000007</v>
      </c>
      <c r="C31" s="2">
        <f>184.35-Tabelle1[[#This Row],[dia]]/2</f>
        <v>179.7</v>
      </c>
      <c r="D31" s="2">
        <f>34.4-Tabelle1[[#This Row],[dia]]/2</f>
        <v>29.75</v>
      </c>
      <c r="E31" s="1">
        <v>9</v>
      </c>
      <c r="F31" s="1">
        <v>4</v>
      </c>
      <c r="G31" s="2">
        <f>Tabelle1[[#This Row],[x]]-C30</f>
        <v>18.900000000000006</v>
      </c>
      <c r="H31" s="2"/>
      <c r="I31" s="2">
        <f>I28-I16</f>
        <v>19.082996323529407</v>
      </c>
      <c r="J31" s="2">
        <f>J28-J16</f>
        <v>19.05</v>
      </c>
    </row>
    <row r="32" spans="1:12">
      <c r="A32" s="1" t="s">
        <v>27</v>
      </c>
      <c r="B32" s="2">
        <v>9.1999999999999993</v>
      </c>
      <c r="C32" s="2">
        <f>203.15-Tabelle1[[#This Row],[dia]]/2</f>
        <v>198.55</v>
      </c>
      <c r="D32" s="2">
        <f>34.45-Tabelle1[[#This Row],[dia]]/2</f>
        <v>29.85</v>
      </c>
      <c r="E32" s="1">
        <v>10</v>
      </c>
      <c r="F32" s="1">
        <v>4</v>
      </c>
      <c r="G32" s="2">
        <f>Tabelle1[[#This Row],[x]]-C31</f>
        <v>18.850000000000023</v>
      </c>
      <c r="H32" s="2"/>
    </row>
    <row r="33" spans="1:12">
      <c r="A33" s="1" t="s">
        <v>28</v>
      </c>
      <c r="B33" s="2">
        <v>9.3000000000000007</v>
      </c>
      <c r="C33" s="2">
        <f>222.15-Tabelle1[[#This Row],[dia]]/2</f>
        <v>217.5</v>
      </c>
      <c r="D33" s="2">
        <f>34.45-Tabelle1[[#This Row],[dia]]/2</f>
        <v>29.800000000000004</v>
      </c>
      <c r="E33" s="1">
        <v>11</v>
      </c>
      <c r="F33" s="1">
        <v>4</v>
      </c>
      <c r="G33" s="2">
        <f>Tabelle1[[#This Row],[x]]-C32</f>
        <v>18.949999999999989</v>
      </c>
      <c r="H33" s="2"/>
      <c r="I33" t="s">
        <v>36</v>
      </c>
    </row>
    <row r="34" spans="1:12">
      <c r="A34" s="1" t="s">
        <v>29</v>
      </c>
      <c r="B34" s="2">
        <v>9.3000000000000007</v>
      </c>
      <c r="C34" s="2">
        <f>241.3-Tabelle1[[#This Row],[dia]]/2</f>
        <v>236.65</v>
      </c>
      <c r="D34" s="2">
        <f>34.3-Tabelle1[[#This Row],[dia]]/2</f>
        <v>29.65</v>
      </c>
      <c r="E34" s="1">
        <v>12</v>
      </c>
      <c r="F34" s="1">
        <v>4</v>
      </c>
      <c r="G34" s="2">
        <f>Tabelle1[[#This Row],[x]]-C33</f>
        <v>19.150000000000006</v>
      </c>
      <c r="H34" s="2"/>
      <c r="I34" s="2">
        <f>C23</f>
        <v>27.200000000000003</v>
      </c>
    </row>
    <row r="35" spans="1:12">
      <c r="A35" s="1" t="s">
        <v>30</v>
      </c>
      <c r="B35" s="2">
        <v>9.3000000000000007</v>
      </c>
      <c r="C35" s="2">
        <f>260.45-Tabelle1[[#This Row],[dia]]/2</f>
        <v>255.79999999999998</v>
      </c>
      <c r="D35" s="2">
        <f>34.3-Tabelle1[[#This Row],[dia]]/2</f>
        <v>29.65</v>
      </c>
      <c r="E35" s="1">
        <v>13</v>
      </c>
      <c r="F35" s="1">
        <v>4</v>
      </c>
      <c r="G35" s="2">
        <f>Tabelle1[[#This Row],[x]]-C34</f>
        <v>19.149999999999977</v>
      </c>
      <c r="H35" s="2"/>
    </row>
    <row r="36" spans="1:12">
      <c r="A36" s="1" t="s">
        <v>31</v>
      </c>
      <c r="B36" s="2">
        <v>9.3000000000000007</v>
      </c>
      <c r="C36" s="2">
        <f>279.2-Tabelle1[[#This Row],[dia]]/2</f>
        <v>274.55</v>
      </c>
      <c r="D36" s="2">
        <f>34.7-Tabelle1[[#This Row],[dia]]/2</f>
        <v>30.050000000000004</v>
      </c>
      <c r="E36" s="1">
        <v>14</v>
      </c>
      <c r="F36" s="1">
        <v>4</v>
      </c>
      <c r="G36" s="2">
        <f>Tabelle1[[#This Row],[x]]-C35</f>
        <v>18.750000000000028</v>
      </c>
      <c r="H36" s="2"/>
    </row>
    <row r="37" spans="1:12">
      <c r="A37" s="1" t="s">
        <v>32</v>
      </c>
      <c r="B37" s="2">
        <v>9.3000000000000007</v>
      </c>
      <c r="C37" s="2">
        <f>298.3-Tabelle1[[#This Row],[dia]]/2</f>
        <v>293.65000000000003</v>
      </c>
      <c r="D37" s="2">
        <f>34.4-Tabelle1[[#This Row],[dia]]/2</f>
        <v>29.75</v>
      </c>
      <c r="E37" s="1">
        <v>15</v>
      </c>
      <c r="F37" s="1">
        <v>4</v>
      </c>
      <c r="G37" s="2">
        <f>Tabelle1[[#This Row],[x]]-C36</f>
        <v>19.100000000000023</v>
      </c>
      <c r="H37" s="2"/>
    </row>
    <row r="38" spans="1:12">
      <c r="A38" s="1" t="s">
        <v>37</v>
      </c>
      <c r="B38" s="2">
        <v>9.35</v>
      </c>
      <c r="C38" s="2">
        <f>B4-36.4+Tabelle1[[#This Row],[dia]]/2</f>
        <v>353.875</v>
      </c>
      <c r="D38" s="2">
        <f>34.25-Tabelle1[[#This Row],[dia]]/2</f>
        <v>29.574999999999999</v>
      </c>
      <c r="E38" s="1">
        <v>16</v>
      </c>
      <c r="F38" s="1">
        <v>4</v>
      </c>
      <c r="G38" s="2"/>
      <c r="H38" s="2"/>
    </row>
    <row r="39" spans="1:12">
      <c r="A39" s="1" t="s">
        <v>38</v>
      </c>
      <c r="B39" s="2">
        <v>9.3000000000000007</v>
      </c>
      <c r="C39" s="2">
        <f>17.5-Tabelle1[[#This Row],[dia]]/2</f>
        <v>12.85</v>
      </c>
      <c r="D39" s="2">
        <f>53.45-Tabelle1[[#This Row],[dia]]/2</f>
        <v>48.800000000000004</v>
      </c>
      <c r="E39" s="1">
        <v>1</v>
      </c>
      <c r="F39" s="1">
        <v>3</v>
      </c>
      <c r="G39" s="2">
        <v>0</v>
      </c>
      <c r="H39" s="2"/>
      <c r="I39" s="4" t="s">
        <v>55</v>
      </c>
    </row>
    <row r="40" spans="1:12">
      <c r="A40" s="1" t="s">
        <v>39</v>
      </c>
      <c r="B40" s="2">
        <v>13.8</v>
      </c>
      <c r="C40" s="2">
        <f>24.9+Tabelle1[[#This Row],[dia]]/2</f>
        <v>31.799999999999997</v>
      </c>
      <c r="D40" s="2">
        <f>42.1+Tabelle1[[#This Row],[dia]]/2</f>
        <v>49</v>
      </c>
      <c r="E40" s="1">
        <v>2</v>
      </c>
      <c r="F40" s="1">
        <v>3</v>
      </c>
      <c r="G40" s="2">
        <f>Tabelle1[[#This Row],[x]]-C39</f>
        <v>18.949999999999996</v>
      </c>
      <c r="H40" s="2"/>
      <c r="I40" t="s">
        <v>16</v>
      </c>
      <c r="J40" t="s">
        <v>17</v>
      </c>
      <c r="K40" t="s">
        <v>18</v>
      </c>
      <c r="L40" t="s">
        <v>191</v>
      </c>
    </row>
    <row r="41" spans="1:12">
      <c r="A41" s="1" t="s">
        <v>40</v>
      </c>
      <c r="B41" s="2">
        <v>9.3000000000000007</v>
      </c>
      <c r="C41" s="2">
        <f>55.55-Tabelle1[[#This Row],[dia]]/2</f>
        <v>50.9</v>
      </c>
      <c r="D41" s="2">
        <f>53.3-Tabelle1[[#This Row],[dia]]/2</f>
        <v>48.65</v>
      </c>
      <c r="E41" s="1">
        <v>3</v>
      </c>
      <c r="F41" s="1">
        <v>3</v>
      </c>
      <c r="G41" s="2">
        <f>Tabelle1[[#This Row],[x]]-C40</f>
        <v>19.100000000000001</v>
      </c>
      <c r="H41" s="2"/>
      <c r="I41" s="2">
        <f>SUM(G40:G52)/13</f>
        <v>19.036538461538463</v>
      </c>
      <c r="J41" s="2">
        <f>(C52-C39)/13</f>
        <v>19.036538461538463</v>
      </c>
      <c r="K41" s="2">
        <f>MEDIAN(G40:G52)</f>
        <v>19.025000000000006</v>
      </c>
      <c r="L41" s="2">
        <f>STDEVP(G40:G52)</f>
        <v>9.9332089001107501E-2</v>
      </c>
    </row>
    <row r="42" spans="1:12">
      <c r="A42" s="1" t="s">
        <v>54</v>
      </c>
      <c r="B42" s="2">
        <v>9.3000000000000007</v>
      </c>
      <c r="C42" s="2">
        <f>74.6-Tabelle1[[#This Row],[dia]]/2</f>
        <v>69.949999999999989</v>
      </c>
      <c r="D42" s="2">
        <f>53.45-Tabelle1[[#This Row],[dia]]/2</f>
        <v>48.800000000000004</v>
      </c>
      <c r="E42" s="1">
        <v>4</v>
      </c>
      <c r="F42" s="1">
        <v>3</v>
      </c>
      <c r="G42" s="2">
        <f>Tabelle1[[#This Row],[x]]-C41</f>
        <v>19.04999999999999</v>
      </c>
      <c r="H42" s="2"/>
    </row>
    <row r="43" spans="1:12">
      <c r="A43" s="1" t="s">
        <v>41</v>
      </c>
      <c r="B43" s="2">
        <v>9.3000000000000007</v>
      </c>
      <c r="C43" s="2">
        <f>93.5-Tabelle1[[#This Row],[dia]]/2</f>
        <v>88.85</v>
      </c>
      <c r="D43" s="2">
        <f>53.4-Tabelle1[[#This Row],[dia]]/2</f>
        <v>48.75</v>
      </c>
      <c r="E43" s="1">
        <v>5</v>
      </c>
      <c r="F43" s="1">
        <v>3</v>
      </c>
      <c r="G43" s="2">
        <f>Tabelle1[[#This Row],[x]]-C42</f>
        <v>18.900000000000006</v>
      </c>
      <c r="H43" s="2"/>
      <c r="I43" t="s">
        <v>33</v>
      </c>
      <c r="J43" t="s">
        <v>34</v>
      </c>
      <c r="K43" t="s">
        <v>192</v>
      </c>
    </row>
    <row r="44" spans="1:12">
      <c r="A44" s="1" t="s">
        <v>42</v>
      </c>
      <c r="B44" s="2">
        <v>9.25</v>
      </c>
      <c r="C44" s="2">
        <f>112.5-Tabelle1[[#This Row],[dia]]/2</f>
        <v>107.875</v>
      </c>
      <c r="D44" s="2">
        <f>53.4-Tabelle1[[#This Row],[dia]]/2</f>
        <v>48.774999999999999</v>
      </c>
      <c r="E44" s="1">
        <v>6</v>
      </c>
      <c r="F44" s="1">
        <v>3</v>
      </c>
      <c r="G44" s="2">
        <f>Tabelle1[[#This Row],[x]]-C43</f>
        <v>19.025000000000006</v>
      </c>
      <c r="H44" s="2"/>
      <c r="I44" s="2">
        <f>SUM(D39:D54)/16</f>
        <v>48.807812500000004</v>
      </c>
      <c r="J44" s="2">
        <f>MEDIAN(D39:D54)</f>
        <v>48.800000000000004</v>
      </c>
      <c r="K44" s="2">
        <f>STDEVP(D39:D54)</f>
        <v>9.3004851183957335E-2</v>
      </c>
    </row>
    <row r="45" spans="1:12">
      <c r="A45" s="1" t="s">
        <v>43</v>
      </c>
      <c r="B45" s="2">
        <v>9.3000000000000007</v>
      </c>
      <c r="C45" s="2">
        <f>131.65-Tabelle1[[#This Row],[dia]]/2</f>
        <v>127</v>
      </c>
      <c r="D45" s="2">
        <f>53.45-Tabelle1[[#This Row],[dia]]/2</f>
        <v>48.800000000000004</v>
      </c>
      <c r="E45" s="1">
        <v>7</v>
      </c>
      <c r="F45" s="1">
        <v>3</v>
      </c>
      <c r="G45" s="2">
        <f>Tabelle1[[#This Row],[x]]-C44</f>
        <v>19.125</v>
      </c>
      <c r="H45" s="2"/>
      <c r="I45" s="2"/>
      <c r="J45" s="2"/>
    </row>
    <row r="46" spans="1:12">
      <c r="A46" s="1" t="s">
        <v>44</v>
      </c>
      <c r="B46" s="2">
        <v>9.3000000000000007</v>
      </c>
      <c r="C46" s="2">
        <f>150.85-Tabelle1[[#This Row],[dia]]/2</f>
        <v>146.19999999999999</v>
      </c>
      <c r="D46" s="2">
        <f>53.45-Tabelle1[[#This Row],[dia]]/2</f>
        <v>48.800000000000004</v>
      </c>
      <c r="E46" s="1">
        <v>8</v>
      </c>
      <c r="F46" s="1">
        <v>3</v>
      </c>
      <c r="G46" s="2">
        <f>Tabelle1[[#This Row],[x]]-C45</f>
        <v>19.199999999999989</v>
      </c>
      <c r="H46" s="2"/>
      <c r="I46" s="2" t="s">
        <v>72</v>
      </c>
      <c r="J46" s="2" t="s">
        <v>72</v>
      </c>
    </row>
    <row r="47" spans="1:12">
      <c r="A47" s="1" t="s">
        <v>45</v>
      </c>
      <c r="B47" s="2">
        <v>9.3000000000000007</v>
      </c>
      <c r="C47" s="2">
        <f>169.95-Tabelle1[[#This Row],[dia]]/2</f>
        <v>165.29999999999998</v>
      </c>
      <c r="D47" s="2">
        <f>53.4-Tabelle1[[#This Row],[dia]]/2</f>
        <v>48.75</v>
      </c>
      <c r="E47" s="1">
        <v>9</v>
      </c>
      <c r="F47" s="1">
        <v>3</v>
      </c>
      <c r="G47" s="2">
        <f>Tabelle1[[#This Row],[x]]-C46</f>
        <v>19.099999999999994</v>
      </c>
      <c r="H47" s="2"/>
      <c r="I47" s="2">
        <f>I44-I28</f>
        <v>18.996875000000006</v>
      </c>
      <c r="J47" s="2">
        <f>J44-J28</f>
        <v>19.000000000000004</v>
      </c>
    </row>
    <row r="48" spans="1:12">
      <c r="A48" s="1" t="s">
        <v>46</v>
      </c>
      <c r="B48" s="2">
        <v>9.3000000000000007</v>
      </c>
      <c r="C48" s="2">
        <f>188.8-Tabelle1[[#This Row],[dia]]/2</f>
        <v>184.15</v>
      </c>
      <c r="D48" s="2">
        <f>53.3-Tabelle1[[#This Row],[dia]]/2</f>
        <v>48.65</v>
      </c>
      <c r="E48" s="1">
        <v>10</v>
      </c>
      <c r="F48" s="1">
        <v>3</v>
      </c>
      <c r="G48" s="2">
        <f>Tabelle1[[#This Row],[x]]-C47</f>
        <v>18.850000000000023</v>
      </c>
      <c r="H48" s="2"/>
    </row>
    <row r="49" spans="1:14">
      <c r="A49" s="1" t="s">
        <v>47</v>
      </c>
      <c r="B49" s="2">
        <v>9.25</v>
      </c>
      <c r="C49" s="2">
        <f>207.95-Tabelle1[[#This Row],[dia]]/2</f>
        <v>203.32499999999999</v>
      </c>
      <c r="D49" s="2">
        <f>53.5-Tabelle1[[#This Row],[dia]]/2</f>
        <v>48.875</v>
      </c>
      <c r="E49" s="1">
        <v>11</v>
      </c>
      <c r="F49" s="1">
        <v>3</v>
      </c>
      <c r="G49" s="2">
        <f>Tabelle1[[#This Row],[x]]-C48</f>
        <v>19.174999999999983</v>
      </c>
      <c r="H49" s="2"/>
      <c r="I49" t="s">
        <v>36</v>
      </c>
    </row>
    <row r="50" spans="1:14">
      <c r="A50" s="1" t="s">
        <v>48</v>
      </c>
      <c r="B50" s="2">
        <v>9.3000000000000007</v>
      </c>
      <c r="C50" s="2">
        <f>226.95-Tabelle1[[#This Row],[dia]]/2</f>
        <v>222.29999999999998</v>
      </c>
      <c r="D50" s="2">
        <f>53.5-Tabelle1[[#This Row],[dia]]/2</f>
        <v>48.85</v>
      </c>
      <c r="E50" s="1">
        <v>12</v>
      </c>
      <c r="F50" s="1">
        <v>3</v>
      </c>
      <c r="G50" s="2">
        <f>Tabelle1[[#This Row],[x]]-C49</f>
        <v>18.974999999999994</v>
      </c>
      <c r="H50" s="2"/>
      <c r="I50" s="2">
        <f>C39</f>
        <v>12.85</v>
      </c>
    </row>
    <row r="51" spans="1:14">
      <c r="A51" s="1" t="s">
        <v>49</v>
      </c>
      <c r="B51" s="2">
        <v>9.1999999999999993</v>
      </c>
      <c r="C51" s="2">
        <f>245.9-Tabelle1[[#This Row],[dia]]/2</f>
        <v>241.3</v>
      </c>
      <c r="D51" s="2">
        <f>53.6-Tabelle1[[#This Row],[dia]]/2</f>
        <v>49</v>
      </c>
      <c r="E51" s="1">
        <v>13</v>
      </c>
      <c r="F51" s="1">
        <v>3</v>
      </c>
      <c r="G51" s="2">
        <f>Tabelle1[[#This Row],[x]]-C50</f>
        <v>19.000000000000028</v>
      </c>
      <c r="H51" s="2"/>
      <c r="M51" t="s">
        <v>15</v>
      </c>
      <c r="N51" s="6">
        <f>C22</f>
        <v>353.77499999999998</v>
      </c>
    </row>
    <row r="52" spans="1:14">
      <c r="A52" s="1" t="s">
        <v>50</v>
      </c>
      <c r="B52" s="2">
        <v>9.25</v>
      </c>
      <c r="C52" s="2">
        <f>264.95-Tabelle1[[#This Row],[dia]]/2</f>
        <v>260.32499999999999</v>
      </c>
      <c r="D52" s="2">
        <f>53.45-Tabelle1[[#This Row],[dia]]/2</f>
        <v>48.825000000000003</v>
      </c>
      <c r="E52" s="1">
        <v>14</v>
      </c>
      <c r="F52" s="1">
        <v>3</v>
      </c>
      <c r="G52" s="2">
        <f>Tabelle1[[#This Row],[x]]-C51</f>
        <v>19.024999999999977</v>
      </c>
      <c r="H52" s="2"/>
      <c r="M52" t="s">
        <v>37</v>
      </c>
      <c r="N52" s="6">
        <f>C38</f>
        <v>353.875</v>
      </c>
    </row>
    <row r="53" spans="1:14">
      <c r="A53" s="1" t="s">
        <v>51</v>
      </c>
      <c r="B53" s="2">
        <v>9.3000000000000007</v>
      </c>
      <c r="C53" s="2">
        <f>293.65-Tabelle1[[#This Row],[dia]]/2</f>
        <v>289</v>
      </c>
      <c r="D53" s="2">
        <f>53.45-Tabelle1[[#This Row],[dia]]/2</f>
        <v>48.800000000000004</v>
      </c>
      <c r="E53" s="1">
        <v>15</v>
      </c>
      <c r="F53" s="1">
        <v>3</v>
      </c>
      <c r="G53" s="2">
        <f>Tabelle1[[#This Row],[x]]-C52</f>
        <v>28.675000000000011</v>
      </c>
      <c r="H53" s="2"/>
      <c r="M53" t="s">
        <v>52</v>
      </c>
      <c r="N53" s="6">
        <f>C54</f>
        <v>353.84999999999997</v>
      </c>
    </row>
    <row r="54" spans="1:14">
      <c r="A54" s="1" t="s">
        <v>52</v>
      </c>
      <c r="B54" s="2">
        <v>9.3000000000000007</v>
      </c>
      <c r="C54" s="2">
        <f>B4-36.4+Tabelle1[[#This Row],[dia]]/2</f>
        <v>353.84999999999997</v>
      </c>
      <c r="D54" s="2">
        <f>53.45-Tabelle1[[#This Row],[dia]]/2</f>
        <v>48.800000000000004</v>
      </c>
      <c r="E54" s="1">
        <v>16</v>
      </c>
      <c r="F54" s="1">
        <v>3</v>
      </c>
      <c r="G54" s="2"/>
      <c r="H54" s="2"/>
      <c r="M54" t="s">
        <v>71</v>
      </c>
      <c r="N54" s="6">
        <f>C70</f>
        <v>353.84999999999997</v>
      </c>
    </row>
    <row r="55" spans="1:14">
      <c r="A55" s="1" t="s">
        <v>56</v>
      </c>
      <c r="B55" s="2">
        <v>9.4</v>
      </c>
      <c r="C55" s="2">
        <f>17.6-Tabelle1[[#This Row],[dia]]/2</f>
        <v>12.900000000000002</v>
      </c>
      <c r="D55" s="2">
        <f>72.75-Tabelle1[[#This Row],[dia]]/2</f>
        <v>68.05</v>
      </c>
      <c r="E55" s="1">
        <v>1</v>
      </c>
      <c r="F55" s="1">
        <v>2</v>
      </c>
      <c r="G55" s="2"/>
      <c r="H55" s="2"/>
      <c r="I55" s="4" t="s">
        <v>73</v>
      </c>
    </row>
    <row r="56" spans="1:14">
      <c r="A56" s="1" t="s">
        <v>67</v>
      </c>
      <c r="B56" s="2">
        <v>9.25</v>
      </c>
      <c r="C56" s="2">
        <f>45.8-Tabelle1[[#This Row],[dia]]/2</f>
        <v>41.174999999999997</v>
      </c>
      <c r="D56" s="2">
        <f>72.6-Tabelle1[[#This Row],[dia]]/2</f>
        <v>67.974999999999994</v>
      </c>
      <c r="E56" s="1">
        <v>2</v>
      </c>
      <c r="F56" s="1">
        <v>2</v>
      </c>
      <c r="G56" s="2">
        <f>Tabelle1[[#This Row],[x]]-C55</f>
        <v>28.274999999999995</v>
      </c>
      <c r="H56" s="2"/>
      <c r="I56" t="s">
        <v>16</v>
      </c>
      <c r="J56" t="s">
        <v>17</v>
      </c>
      <c r="K56" t="s">
        <v>18</v>
      </c>
      <c r="L56" t="s">
        <v>191</v>
      </c>
      <c r="M56" t="s">
        <v>74</v>
      </c>
      <c r="N56" t="s">
        <v>75</v>
      </c>
    </row>
    <row r="57" spans="1:14">
      <c r="A57" s="1" t="s">
        <v>58</v>
      </c>
      <c r="B57" s="2">
        <v>9.3000000000000007</v>
      </c>
      <c r="C57" s="2">
        <f>65-Tabelle1[[#This Row],[dia]]/2</f>
        <v>60.35</v>
      </c>
      <c r="D57" s="2">
        <f>72.5-Tabelle1[[#This Row],[dia]]/2</f>
        <v>67.849999999999994</v>
      </c>
      <c r="E57" s="1">
        <v>3</v>
      </c>
      <c r="F57" s="1">
        <v>2</v>
      </c>
      <c r="G57" s="2">
        <f>Tabelle1[[#This Row],[x]]-C56</f>
        <v>19.175000000000004</v>
      </c>
      <c r="H57" s="2"/>
      <c r="I57" s="2">
        <f>(SUM(G57:G66)+SUM(G68:G69))/12</f>
        <v>19.056249999999995</v>
      </c>
      <c r="J57" s="7">
        <f>(C66-Tabelle1[[#This Row],[x]])/9</f>
        <v>19.044444444444444</v>
      </c>
      <c r="K57" s="2">
        <f>MEDIAN(G57:G69)</f>
        <v>19.099999999999994</v>
      </c>
      <c r="L57" s="2">
        <f>STDEVP(G57:G66,G68:G69)</f>
        <v>8.6677683594644131E-2</v>
      </c>
      <c r="M57" s="10">
        <f>SUM(N51:N54)/4</f>
        <v>353.83749999999998</v>
      </c>
      <c r="N57" s="10">
        <f>MEDIAN(N51:N54)</f>
        <v>353.84999999999997</v>
      </c>
    </row>
    <row r="58" spans="1:14">
      <c r="A58" s="1" t="s">
        <v>57</v>
      </c>
      <c r="B58" s="2">
        <v>9.3000000000000007</v>
      </c>
      <c r="C58" s="2">
        <f>84.1-Tabelle1[[#This Row],[dia]]/2</f>
        <v>79.449999999999989</v>
      </c>
      <c r="D58" s="2">
        <f>72.65-Tabelle1[[#This Row],[dia]]/2</f>
        <v>68</v>
      </c>
      <c r="E58" s="1">
        <v>4</v>
      </c>
      <c r="F58" s="1">
        <v>2</v>
      </c>
      <c r="G58" s="2">
        <f>Tabelle1[[#This Row],[x]]-C57</f>
        <v>19.099999999999987</v>
      </c>
      <c r="H58" s="2"/>
    </row>
    <row r="59" spans="1:14">
      <c r="A59" s="1" t="s">
        <v>59</v>
      </c>
      <c r="B59" s="2">
        <v>9.3000000000000007</v>
      </c>
      <c r="C59" s="2">
        <f>103-Tabelle1[[#This Row],[dia]]/2</f>
        <v>98.35</v>
      </c>
      <c r="D59" s="2">
        <f>72.6-Tabelle1[[#This Row],[dia]]/2</f>
        <v>67.949999999999989</v>
      </c>
      <c r="E59" s="1">
        <v>5</v>
      </c>
      <c r="F59" s="1">
        <v>2</v>
      </c>
      <c r="G59" s="2">
        <f>Tabelle1[[#This Row],[x]]-C58</f>
        <v>18.900000000000006</v>
      </c>
      <c r="H59" s="2"/>
      <c r="I59" t="s">
        <v>33</v>
      </c>
      <c r="J59" t="s">
        <v>34</v>
      </c>
      <c r="K59" t="s">
        <v>192</v>
      </c>
    </row>
    <row r="60" spans="1:14">
      <c r="A60" s="1" t="s">
        <v>60</v>
      </c>
      <c r="B60" s="2">
        <v>9.1999999999999993</v>
      </c>
      <c r="C60" s="2">
        <f>122.05-Tabelle1[[#This Row],[dia]]/2</f>
        <v>117.45</v>
      </c>
      <c r="D60" s="2">
        <f>72.4-Tabelle1[[#This Row],[dia]]/2</f>
        <v>67.800000000000011</v>
      </c>
      <c r="E60" s="1">
        <v>6</v>
      </c>
      <c r="F60" s="1">
        <v>2</v>
      </c>
      <c r="G60" s="2">
        <f>Tabelle1[[#This Row],[x]]-C59</f>
        <v>19.100000000000009</v>
      </c>
      <c r="H60" s="2"/>
      <c r="I60" s="2">
        <f>SUM(D55:D70)/16</f>
        <v>67.876562499999991</v>
      </c>
      <c r="J60" s="2">
        <f>MEDIAN(D56:D70)</f>
        <v>67.875</v>
      </c>
      <c r="K60" s="2">
        <f>STDEVP(D55:D70)</f>
        <v>9.6204839242886975E-2</v>
      </c>
    </row>
    <row r="61" spans="1:14">
      <c r="A61" s="1" t="s">
        <v>61</v>
      </c>
      <c r="B61" s="2">
        <v>9.1999999999999993</v>
      </c>
      <c r="C61" s="2">
        <f>141.2-Tabelle1[[#This Row],[dia]]/2</f>
        <v>136.6</v>
      </c>
      <c r="D61" s="2">
        <f>72.55-Tabelle1[[#This Row],[dia]]/2</f>
        <v>67.95</v>
      </c>
      <c r="E61" s="1">
        <v>7</v>
      </c>
      <c r="F61" s="1">
        <v>2</v>
      </c>
      <c r="G61" s="2">
        <f>Tabelle1[[#This Row],[x]]-C60</f>
        <v>19.149999999999991</v>
      </c>
      <c r="H61" s="2"/>
    </row>
    <row r="62" spans="1:14">
      <c r="A62" s="1" t="s">
        <v>62</v>
      </c>
      <c r="B62" s="2">
        <v>9.35</v>
      </c>
      <c r="C62" s="2">
        <f>160.25-Tabelle1[[#This Row],[dia]]/2</f>
        <v>155.57499999999999</v>
      </c>
      <c r="D62" s="2">
        <f>72.55-Tabelle1[[#This Row],[dia]]/2</f>
        <v>67.875</v>
      </c>
      <c r="E62" s="1">
        <v>8</v>
      </c>
      <c r="F62" s="1">
        <v>2</v>
      </c>
      <c r="G62" s="2">
        <f>Tabelle1[[#This Row],[x]]-C61</f>
        <v>18.974999999999994</v>
      </c>
      <c r="H62" s="2"/>
      <c r="I62" s="2" t="s">
        <v>72</v>
      </c>
      <c r="J62" s="2" t="s">
        <v>72</v>
      </c>
    </row>
    <row r="63" spans="1:14">
      <c r="A63" s="1" t="s">
        <v>63</v>
      </c>
      <c r="B63" s="2">
        <v>9.1999999999999993</v>
      </c>
      <c r="C63" s="2">
        <f>179.3-Tabelle1[[#This Row],[dia]]/2</f>
        <v>174.70000000000002</v>
      </c>
      <c r="D63" s="2">
        <f>72.4-Tabelle1[[#This Row],[dia]]/2</f>
        <v>67.800000000000011</v>
      </c>
      <c r="E63" s="1">
        <v>9</v>
      </c>
      <c r="F63" s="1">
        <v>2</v>
      </c>
      <c r="G63" s="2">
        <f>Tabelle1[[#This Row],[x]]-C62</f>
        <v>19.125000000000028</v>
      </c>
      <c r="H63" s="2"/>
      <c r="I63" s="2">
        <f>I60-I44</f>
        <v>19.068749999999987</v>
      </c>
      <c r="J63" s="2">
        <f>J60-J44</f>
        <v>19.074999999999996</v>
      </c>
    </row>
    <row r="64" spans="1:14">
      <c r="A64" s="1" t="s">
        <v>64</v>
      </c>
      <c r="B64" s="2">
        <v>9.1999999999999993</v>
      </c>
      <c r="C64" s="2">
        <f>198.4-Tabelle1[[#This Row],[dia]]/2</f>
        <v>193.8</v>
      </c>
      <c r="D64" s="2">
        <f>72.5-Tabelle1[[#This Row],[dia]]/2</f>
        <v>67.900000000000006</v>
      </c>
      <c r="E64" s="1">
        <v>10</v>
      </c>
      <c r="F64" s="1">
        <v>2</v>
      </c>
      <c r="G64" s="2">
        <f>Tabelle1[[#This Row],[x]]-C63</f>
        <v>19.099999999999994</v>
      </c>
      <c r="H64" s="2"/>
    </row>
    <row r="65" spans="1:15">
      <c r="A65" s="1" t="s">
        <v>65</v>
      </c>
      <c r="B65" s="2">
        <v>9.3000000000000007</v>
      </c>
      <c r="C65" s="2">
        <f>217.45-Tabelle1[[#This Row],[dia]]/2</f>
        <v>212.79999999999998</v>
      </c>
      <c r="D65" s="2">
        <f>72.35-Tabelle1[[#This Row],[dia]]/2</f>
        <v>67.699999999999989</v>
      </c>
      <c r="E65" s="1">
        <v>11</v>
      </c>
      <c r="F65" s="1">
        <v>2</v>
      </c>
      <c r="G65" s="2">
        <f>Tabelle1[[#This Row],[x]]-C64</f>
        <v>18.999999999999972</v>
      </c>
      <c r="H65" s="2"/>
      <c r="I65" t="s">
        <v>36</v>
      </c>
    </row>
    <row r="66" spans="1:15">
      <c r="A66" s="1" t="s">
        <v>66</v>
      </c>
      <c r="B66" s="2">
        <v>9.3000000000000007</v>
      </c>
      <c r="C66" s="2">
        <f>236.4-Tabelle1[[#This Row],[dia]]/2</f>
        <v>231.75</v>
      </c>
      <c r="D66" s="2">
        <f>72.45-Tabelle1[[#This Row],[dia]]/2</f>
        <v>67.8</v>
      </c>
      <c r="E66" s="1">
        <v>12</v>
      </c>
      <c r="F66" s="1">
        <v>2</v>
      </c>
      <c r="G66" s="2">
        <f>Tabelle1[[#This Row],[x]]-C65</f>
        <v>18.950000000000017</v>
      </c>
      <c r="H66" s="2"/>
      <c r="I66" s="6">
        <f>C55</f>
        <v>12.900000000000002</v>
      </c>
    </row>
    <row r="67" spans="1:15">
      <c r="A67" s="1" t="s">
        <v>68</v>
      </c>
      <c r="B67" s="2">
        <v>9.3000000000000007</v>
      </c>
      <c r="C67" s="2">
        <f>265.1-Tabelle1[[#This Row],[dia]]/2</f>
        <v>260.45000000000005</v>
      </c>
      <c r="D67" s="2">
        <f>72.6-Tabelle1[[#This Row],[dia]]/2</f>
        <v>67.949999999999989</v>
      </c>
      <c r="E67" s="1">
        <v>13</v>
      </c>
      <c r="F67" s="1">
        <v>2</v>
      </c>
      <c r="G67" s="2">
        <f>Tabelle1[[#This Row],[x]]-C66</f>
        <v>28.700000000000045</v>
      </c>
      <c r="H67" s="2"/>
      <c r="O67" t="s">
        <v>72</v>
      </c>
    </row>
    <row r="68" spans="1:15">
      <c r="A68" s="1" t="s">
        <v>69</v>
      </c>
      <c r="B68" s="2">
        <v>9.35</v>
      </c>
      <c r="C68" s="2">
        <f>284.1-Tabelle1[[#This Row],[dia]]/2</f>
        <v>279.42500000000001</v>
      </c>
      <c r="D68" s="2">
        <f>72.45-Tabelle1[[#This Row],[dia]]/2</f>
        <v>67.775000000000006</v>
      </c>
      <c r="E68" s="1">
        <v>14</v>
      </c>
      <c r="F68" s="1">
        <v>2</v>
      </c>
      <c r="G68" s="2">
        <f>Tabelle1[[#This Row],[x]]-C67</f>
        <v>18.974999999999966</v>
      </c>
      <c r="H68" s="2"/>
      <c r="M68" t="s">
        <v>78</v>
      </c>
      <c r="N68" s="2">
        <f>J16</f>
        <v>10.75</v>
      </c>
    </row>
    <row r="69" spans="1:15">
      <c r="A69" s="1" t="s">
        <v>70</v>
      </c>
      <c r="B69" s="2">
        <v>9.1999999999999993</v>
      </c>
      <c r="C69" s="2">
        <f>303.15-Tabelle1[[#This Row],[dia]]/2</f>
        <v>298.54999999999995</v>
      </c>
      <c r="D69" s="2">
        <f>72.5-Tabelle1[[#This Row],[dia]]/2</f>
        <v>67.900000000000006</v>
      </c>
      <c r="E69" s="1">
        <v>15</v>
      </c>
      <c r="F69" s="1">
        <v>2</v>
      </c>
      <c r="G69" s="2">
        <f>Tabelle1[[#This Row],[x]]-C68</f>
        <v>19.124999999999943</v>
      </c>
      <c r="H69" s="2"/>
      <c r="M69" t="s">
        <v>79</v>
      </c>
      <c r="N69" s="2">
        <f>J28</f>
        <v>29.8</v>
      </c>
      <c r="O69" s="2">
        <f>N69-N68</f>
        <v>19.05</v>
      </c>
    </row>
    <row r="70" spans="1:15">
      <c r="A70" s="1" t="s">
        <v>71</v>
      </c>
      <c r="B70" s="2">
        <v>9.3000000000000007</v>
      </c>
      <c r="C70" s="2">
        <f>B4-36.4+Tabelle1[[#This Row],[dia]]/2</f>
        <v>353.84999999999997</v>
      </c>
      <c r="D70" s="2">
        <f>72.4-Tabelle1[[#This Row],[dia]]/2</f>
        <v>67.75</v>
      </c>
      <c r="E70" s="1">
        <v>16</v>
      </c>
      <c r="F70" s="1">
        <v>2</v>
      </c>
      <c r="G70" s="2"/>
      <c r="H70" s="2"/>
      <c r="M70" t="s">
        <v>80</v>
      </c>
      <c r="N70" s="2">
        <f>J44</f>
        <v>48.800000000000004</v>
      </c>
      <c r="O70" s="2">
        <f>N70-N69</f>
        <v>19.000000000000004</v>
      </c>
    </row>
    <row r="71" spans="1:15">
      <c r="A71" s="1" t="s">
        <v>76</v>
      </c>
      <c r="B71" s="2">
        <v>9.35</v>
      </c>
      <c r="C71" s="2">
        <f>146.05-Tabelle1[[#This Row],[dia]]/2</f>
        <v>141.375</v>
      </c>
      <c r="D71" s="2">
        <f>91.65-Tabelle1[[#This Row],[dia]]/2</f>
        <v>86.975000000000009</v>
      </c>
      <c r="E71" s="1">
        <v>1</v>
      </c>
      <c r="F71" s="1">
        <v>1</v>
      </c>
      <c r="G71" s="2"/>
      <c r="H71" s="2"/>
      <c r="I71" s="4" t="s">
        <v>77</v>
      </c>
      <c r="M71" t="s">
        <v>81</v>
      </c>
      <c r="N71" s="2">
        <f>J60</f>
        <v>67.875</v>
      </c>
      <c r="O71" s="2">
        <f>N71-N70</f>
        <v>19.074999999999996</v>
      </c>
    </row>
    <row r="72" spans="1:15">
      <c r="I72" t="s">
        <v>36</v>
      </c>
      <c r="J72" t="s">
        <v>72</v>
      </c>
      <c r="M72" t="s">
        <v>82</v>
      </c>
      <c r="N72" s="2">
        <f>D71</f>
        <v>86.975000000000009</v>
      </c>
      <c r="O72" s="2">
        <f>N72-N71</f>
        <v>19.100000000000009</v>
      </c>
    </row>
    <row r="73" spans="1:15">
      <c r="A73" t="s">
        <v>0</v>
      </c>
      <c r="B73" s="1" t="s">
        <v>176</v>
      </c>
      <c r="C73" s="1" t="s">
        <v>179</v>
      </c>
      <c r="D73" s="1" t="s">
        <v>188</v>
      </c>
      <c r="E73" s="1" t="s">
        <v>190</v>
      </c>
      <c r="I73" s="2">
        <f>C71</f>
        <v>141.375</v>
      </c>
      <c r="J73" s="2">
        <f>D71-I60</f>
        <v>19.098437500000017</v>
      </c>
      <c r="N73" t="s">
        <v>83</v>
      </c>
      <c r="O73" s="10">
        <f>SUM(O69:O72)/4</f>
        <v>19.056250000000002</v>
      </c>
    </row>
    <row r="74" spans="1:15">
      <c r="A74" t="s">
        <v>177</v>
      </c>
      <c r="B74" s="1">
        <v>170.25</v>
      </c>
      <c r="C74" s="1">
        <f>130-4.7</f>
        <v>125.3</v>
      </c>
      <c r="D74" s="1">
        <v>0</v>
      </c>
      <c r="E74" s="14">
        <f>(B74-$B$84)/19.05+1</f>
        <v>8.9921259842519685</v>
      </c>
      <c r="N74" t="s">
        <v>84</v>
      </c>
      <c r="O74" s="10">
        <f>(N72-N68)/4</f>
        <v>19.056250000000002</v>
      </c>
    </row>
    <row r="75" spans="1:15">
      <c r="A75" t="s">
        <v>178</v>
      </c>
      <c r="B75" s="1">
        <v>37.049999999999997</v>
      </c>
      <c r="C75" s="1">
        <f>23.7-4.7</f>
        <v>19</v>
      </c>
      <c r="D75" s="1">
        <v>0</v>
      </c>
      <c r="E75" s="14">
        <f t="shared" ref="E75:E84" si="0">(B75-$B$84)/19.05+1</f>
        <v>1.9999999999999998</v>
      </c>
      <c r="H75" t="s">
        <v>85</v>
      </c>
      <c r="I75" s="6">
        <f>G53</f>
        <v>28.675000000000011</v>
      </c>
    </row>
    <row r="76" spans="1:15">
      <c r="A76" t="s">
        <v>180</v>
      </c>
      <c r="B76" s="1">
        <v>27.5</v>
      </c>
      <c r="C76" s="1">
        <f>14.2-4.7</f>
        <v>9.5</v>
      </c>
      <c r="D76" s="1">
        <f>-C76/2</f>
        <v>-4.75</v>
      </c>
      <c r="E76" s="14">
        <f t="shared" si="0"/>
        <v>1.4986876640419946</v>
      </c>
      <c r="H76" t="s">
        <v>86</v>
      </c>
      <c r="I76" s="6">
        <f>G56</f>
        <v>28.274999999999995</v>
      </c>
    </row>
    <row r="77" spans="1:15">
      <c r="A77" t="s">
        <v>182</v>
      </c>
      <c r="B77" s="1">
        <v>27.5</v>
      </c>
      <c r="C77" s="1">
        <f t="shared" ref="C77:C79" si="1">14.2-4.7</f>
        <v>9.5</v>
      </c>
      <c r="D77" s="1">
        <f t="shared" ref="D77:D83" si="2">-C77/2</f>
        <v>-4.75</v>
      </c>
      <c r="E77" s="14">
        <f t="shared" si="0"/>
        <v>1.4986876640419946</v>
      </c>
      <c r="H77" t="s">
        <v>87</v>
      </c>
      <c r="I77" s="6">
        <f>G67</f>
        <v>28.700000000000045</v>
      </c>
      <c r="J77" s="9" t="s">
        <v>93</v>
      </c>
    </row>
    <row r="78" spans="1:15">
      <c r="A78" t="s">
        <v>181</v>
      </c>
      <c r="B78" s="1">
        <v>27.5</v>
      </c>
      <c r="C78" s="1">
        <f t="shared" si="1"/>
        <v>9.5</v>
      </c>
      <c r="D78" s="1">
        <f t="shared" si="2"/>
        <v>-4.75</v>
      </c>
      <c r="E78" s="14">
        <f t="shared" si="0"/>
        <v>1.4986876640419946</v>
      </c>
      <c r="H78" t="s">
        <v>88</v>
      </c>
      <c r="I78" s="8">
        <f>SUM(I75:I77)/3</f>
        <v>28.550000000000015</v>
      </c>
      <c r="J78" s="6">
        <f>I78/I84</f>
        <v>1.4996027218737467</v>
      </c>
    </row>
    <row r="79" spans="1:15">
      <c r="A79" t="s">
        <v>183</v>
      </c>
      <c r="B79" s="1">
        <v>27.5</v>
      </c>
      <c r="C79" s="1">
        <f t="shared" si="1"/>
        <v>9.5</v>
      </c>
      <c r="D79" s="1">
        <f>C79/2</f>
        <v>4.75</v>
      </c>
      <c r="E79" s="14">
        <f t="shared" si="0"/>
        <v>1.4986876640419946</v>
      </c>
    </row>
    <row r="80" spans="1:15">
      <c r="A80" t="s">
        <v>184</v>
      </c>
      <c r="B80" s="1">
        <v>27.5</v>
      </c>
      <c r="C80" s="1">
        <f>14.2-4.7</f>
        <v>9.5</v>
      </c>
      <c r="D80" s="1">
        <f t="shared" si="2"/>
        <v>-4.75</v>
      </c>
      <c r="E80" s="14">
        <f t="shared" si="0"/>
        <v>1.4986876640419946</v>
      </c>
      <c r="H80" t="s">
        <v>89</v>
      </c>
      <c r="I80" s="6">
        <f>I13</f>
        <v>19.028571428571428</v>
      </c>
    </row>
    <row r="81" spans="1:9">
      <c r="A81" t="s">
        <v>185</v>
      </c>
      <c r="B81" s="1">
        <v>27.5</v>
      </c>
      <c r="C81" s="1">
        <f t="shared" ref="C81:C83" si="3">14.2-4.7</f>
        <v>9.5</v>
      </c>
      <c r="D81" s="1">
        <f t="shared" si="2"/>
        <v>-4.75</v>
      </c>
      <c r="E81" s="14">
        <f t="shared" si="0"/>
        <v>1.4986876640419946</v>
      </c>
      <c r="H81" t="s">
        <v>90</v>
      </c>
      <c r="I81" s="6">
        <f>I25</f>
        <v>19.032142857142862</v>
      </c>
    </row>
    <row r="82" spans="1:9">
      <c r="A82" t="s">
        <v>186</v>
      </c>
      <c r="B82" s="1">
        <v>27.5</v>
      </c>
      <c r="C82" s="1">
        <f t="shared" si="3"/>
        <v>9.5</v>
      </c>
      <c r="D82" s="1">
        <f t="shared" si="2"/>
        <v>-4.75</v>
      </c>
      <c r="E82" s="14">
        <f t="shared" si="0"/>
        <v>1.4986876640419946</v>
      </c>
      <c r="H82" t="s">
        <v>91</v>
      </c>
      <c r="I82" s="6">
        <f>I41</f>
        <v>19.036538461538463</v>
      </c>
    </row>
    <row r="83" spans="1:9">
      <c r="A83" t="s">
        <v>187</v>
      </c>
      <c r="B83" s="1">
        <v>27.5</v>
      </c>
      <c r="C83" s="1">
        <f t="shared" si="3"/>
        <v>9.5</v>
      </c>
      <c r="D83" s="1">
        <f t="shared" si="2"/>
        <v>-4.75</v>
      </c>
      <c r="E83" s="14">
        <f t="shared" si="0"/>
        <v>1.4986876640419946</v>
      </c>
      <c r="H83" t="s">
        <v>92</v>
      </c>
      <c r="I83" s="6">
        <f>I57</f>
        <v>19.056249999999995</v>
      </c>
    </row>
    <row r="84" spans="1:9">
      <c r="A84" t="s">
        <v>189</v>
      </c>
      <c r="B84" s="1">
        <v>18</v>
      </c>
      <c r="E84" s="14">
        <f t="shared" si="0"/>
        <v>1</v>
      </c>
      <c r="H84" t="s">
        <v>88</v>
      </c>
      <c r="I84" s="8">
        <f>SUM(I80:I83)/4</f>
        <v>19.038375686813186</v>
      </c>
    </row>
    <row r="88" spans="1:9">
      <c r="F88"/>
    </row>
    <row r="89" spans="1:9">
      <c r="F89"/>
    </row>
    <row r="90" spans="1:9">
      <c r="F90"/>
    </row>
    <row r="91" spans="1:9">
      <c r="F91"/>
    </row>
    <row r="92" spans="1:9">
      <c r="F92"/>
    </row>
    <row r="93" spans="1:9">
      <c r="F93"/>
    </row>
    <row r="94" spans="1:9">
      <c r="F94"/>
    </row>
    <row r="95" spans="1:9">
      <c r="F95"/>
    </row>
    <row r="96" spans="1:9">
      <c r="F96"/>
    </row>
    <row r="97" spans="6:6">
      <c r="F97"/>
    </row>
    <row r="98" spans="6:6">
      <c r="F98"/>
    </row>
    <row r="99" spans="6:6">
      <c r="F99"/>
    </row>
    <row r="100" spans="6:6">
      <c r="F100"/>
    </row>
    <row r="101" spans="6:6">
      <c r="F101"/>
    </row>
    <row r="102" spans="6:6">
      <c r="F102"/>
    </row>
    <row r="103" spans="6:6">
      <c r="F103"/>
    </row>
    <row r="104" spans="6:6">
      <c r="F104"/>
    </row>
    <row r="105" spans="6:6">
      <c r="F105"/>
    </row>
    <row r="106" spans="6:6">
      <c r="F106"/>
    </row>
    <row r="107" spans="6:6">
      <c r="F107"/>
    </row>
    <row r="108" spans="6:6">
      <c r="F108"/>
    </row>
    <row r="109" spans="6:6">
      <c r="F109"/>
    </row>
    <row r="110" spans="6:6">
      <c r="F110"/>
    </row>
    <row r="111" spans="6:6">
      <c r="F111"/>
    </row>
    <row r="112" spans="6:6">
      <c r="F112"/>
    </row>
    <row r="113" spans="6:6">
      <c r="F113"/>
    </row>
    <row r="114" spans="6:6">
      <c r="F114"/>
    </row>
    <row r="115" spans="6:6">
      <c r="F115"/>
    </row>
    <row r="116" spans="6:6">
      <c r="F116"/>
    </row>
    <row r="117" spans="6:6">
      <c r="F117"/>
    </row>
    <row r="118" spans="6:6">
      <c r="F118"/>
    </row>
    <row r="119" spans="6:6">
      <c r="F119"/>
    </row>
    <row r="120" spans="6:6">
      <c r="F120"/>
    </row>
    <row r="121" spans="6:6">
      <c r="F121"/>
    </row>
    <row r="122" spans="6:6">
      <c r="F122"/>
    </row>
    <row r="123" spans="6:6">
      <c r="F123"/>
    </row>
    <row r="124" spans="6:6">
      <c r="F124"/>
    </row>
    <row r="125" spans="6:6">
      <c r="F125"/>
    </row>
    <row r="126" spans="6:6">
      <c r="F126"/>
    </row>
    <row r="127" spans="6:6">
      <c r="F127"/>
    </row>
    <row r="128" spans="6:6">
      <c r="F128"/>
    </row>
    <row r="129" spans="6:6">
      <c r="F129"/>
    </row>
    <row r="130" spans="6:6">
      <c r="F130"/>
    </row>
    <row r="131" spans="6:6">
      <c r="F131"/>
    </row>
    <row r="132" spans="6:6">
      <c r="F132"/>
    </row>
    <row r="133" spans="6:6">
      <c r="F133"/>
    </row>
    <row r="134" spans="6:6">
      <c r="F134"/>
    </row>
    <row r="135" spans="6:6">
      <c r="F135"/>
    </row>
    <row r="136" spans="6:6">
      <c r="F136"/>
    </row>
    <row r="137" spans="6:6">
      <c r="F137"/>
    </row>
    <row r="138" spans="6:6">
      <c r="F138"/>
    </row>
    <row r="139" spans="6:6">
      <c r="F139"/>
    </row>
    <row r="140" spans="6:6">
      <c r="F140"/>
    </row>
    <row r="141" spans="6:6">
      <c r="F141"/>
    </row>
    <row r="142" spans="6:6">
      <c r="F142"/>
    </row>
    <row r="143" spans="6:6">
      <c r="F143"/>
    </row>
    <row r="144" spans="6:6">
      <c r="F144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</sheetData>
  <pageMargins left="0.7" right="0.7" top="0.78740157499999996" bottom="0.78740157499999996" header="0.3" footer="0.3"/>
  <ignoredErrors>
    <ignoredError sqref="D47 D79 D67 D30 D28 D15" formula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A92DC-A380-4A58-A715-73A2B60420C8}">
  <dimension ref="A4:F72"/>
  <sheetViews>
    <sheetView tabSelected="1" workbookViewId="0">
      <selection activeCell="G6" sqref="G6"/>
    </sheetView>
  </sheetViews>
  <sheetFormatPr baseColWidth="10" defaultRowHeight="13.8"/>
  <sheetData>
    <row r="4" spans="1:6">
      <c r="A4" t="s">
        <v>94</v>
      </c>
      <c r="B4" s="1" t="s">
        <v>9</v>
      </c>
      <c r="C4" s="1" t="s">
        <v>72</v>
      </c>
      <c r="D4" s="1"/>
      <c r="E4" s="1"/>
    </row>
    <row r="5" spans="1:6">
      <c r="B5" s="1">
        <v>19.04</v>
      </c>
      <c r="C5" s="1">
        <v>19.05</v>
      </c>
      <c r="D5" s="1" t="s">
        <v>196</v>
      </c>
      <c r="E5" s="1"/>
    </row>
    <row r="6" spans="1:6">
      <c r="A6" t="s">
        <v>0</v>
      </c>
      <c r="B6" s="1" t="s">
        <v>2</v>
      </c>
      <c r="C6" s="1" t="s">
        <v>3</v>
      </c>
      <c r="D6" s="1" t="s">
        <v>6</v>
      </c>
      <c r="E6" s="1" t="s">
        <v>7</v>
      </c>
    </row>
    <row r="7" spans="1:6">
      <c r="A7" s="1" t="s">
        <v>8</v>
      </c>
      <c r="B7" s="2">
        <v>17.600000000000001</v>
      </c>
      <c r="C7" s="2">
        <f>measured!N68</f>
        <v>10.75</v>
      </c>
      <c r="D7" s="1">
        <v>1</v>
      </c>
      <c r="E7" s="1">
        <v>5</v>
      </c>
      <c r="F7" t="s">
        <v>197</v>
      </c>
    </row>
    <row r="8" spans="1:6">
      <c r="A8" s="1">
        <v>1</v>
      </c>
      <c r="B8" s="2">
        <f>B7+$B$5</f>
        <v>36.64</v>
      </c>
      <c r="C8" s="2">
        <f t="shared" ref="C8:C23" si="0">C7</f>
        <v>10.75</v>
      </c>
      <c r="D8" s="1">
        <v>2</v>
      </c>
      <c r="E8" s="1">
        <v>5</v>
      </c>
    </row>
    <row r="9" spans="1:6">
      <c r="A9" s="1">
        <v>2</v>
      </c>
      <c r="B9" s="2">
        <f t="shared" ref="B9:B22" si="1">B8+$B$5</f>
        <v>55.68</v>
      </c>
      <c r="C9" s="2">
        <f t="shared" si="0"/>
        <v>10.75</v>
      </c>
      <c r="D9" s="1">
        <v>3</v>
      </c>
      <c r="E9" s="1">
        <v>5</v>
      </c>
    </row>
    <row r="10" spans="1:6">
      <c r="A10" s="1">
        <v>3</v>
      </c>
      <c r="B10" s="2">
        <f t="shared" si="1"/>
        <v>74.72</v>
      </c>
      <c r="C10" s="2">
        <f t="shared" si="0"/>
        <v>10.75</v>
      </c>
      <c r="D10" s="1">
        <v>4</v>
      </c>
      <c r="E10" s="1">
        <v>5</v>
      </c>
    </row>
    <row r="11" spans="1:6">
      <c r="A11" s="1">
        <v>4</v>
      </c>
      <c r="B11" s="2">
        <f t="shared" si="1"/>
        <v>93.759999999999991</v>
      </c>
      <c r="C11" s="2">
        <f t="shared" si="0"/>
        <v>10.75</v>
      </c>
      <c r="D11" s="1">
        <v>5</v>
      </c>
      <c r="E11" s="1">
        <v>5</v>
      </c>
    </row>
    <row r="12" spans="1:6">
      <c r="A12" s="1">
        <v>5</v>
      </c>
      <c r="B12" s="2">
        <f t="shared" si="1"/>
        <v>112.79999999999998</v>
      </c>
      <c r="C12" s="2">
        <f t="shared" si="0"/>
        <v>10.75</v>
      </c>
      <c r="D12" s="1">
        <v>6</v>
      </c>
      <c r="E12" s="1">
        <v>5</v>
      </c>
    </row>
    <row r="13" spans="1:6">
      <c r="A13" s="1">
        <v>6</v>
      </c>
      <c r="B13" s="2">
        <f t="shared" si="1"/>
        <v>131.83999999999997</v>
      </c>
      <c r="C13" s="2">
        <f t="shared" si="0"/>
        <v>10.75</v>
      </c>
      <c r="D13" s="1">
        <v>7</v>
      </c>
      <c r="E13" s="1">
        <v>5</v>
      </c>
    </row>
    <row r="14" spans="1:6">
      <c r="A14" s="1">
        <v>7</v>
      </c>
      <c r="B14" s="2">
        <f t="shared" si="1"/>
        <v>150.87999999999997</v>
      </c>
      <c r="C14" s="2">
        <f t="shared" si="0"/>
        <v>10.75</v>
      </c>
      <c r="D14" s="1">
        <v>8</v>
      </c>
      <c r="E14" s="1">
        <v>5</v>
      </c>
    </row>
    <row r="15" spans="1:6">
      <c r="A15" s="1">
        <v>8</v>
      </c>
      <c r="B15" s="2">
        <f t="shared" si="1"/>
        <v>169.91999999999996</v>
      </c>
      <c r="C15" s="2">
        <f t="shared" si="0"/>
        <v>10.75</v>
      </c>
      <c r="D15" s="1">
        <v>9</v>
      </c>
      <c r="E15" s="1">
        <v>5</v>
      </c>
    </row>
    <row r="16" spans="1:6">
      <c r="A16" s="1">
        <v>9</v>
      </c>
      <c r="B16" s="2">
        <f t="shared" si="1"/>
        <v>188.95999999999995</v>
      </c>
      <c r="C16" s="2">
        <f t="shared" si="0"/>
        <v>10.75</v>
      </c>
      <c r="D16" s="1">
        <v>10</v>
      </c>
      <c r="E16" s="1">
        <v>5</v>
      </c>
    </row>
    <row r="17" spans="1:6">
      <c r="A17" s="1">
        <v>0</v>
      </c>
      <c r="B17" s="2">
        <f t="shared" si="1"/>
        <v>207.99999999999994</v>
      </c>
      <c r="C17" s="2">
        <f t="shared" si="0"/>
        <v>10.75</v>
      </c>
      <c r="D17" s="1">
        <v>11</v>
      </c>
      <c r="E17" s="1">
        <v>5</v>
      </c>
    </row>
    <row r="18" spans="1:6">
      <c r="A18" s="1" t="s">
        <v>10</v>
      </c>
      <c r="B18" s="2">
        <f t="shared" si="1"/>
        <v>227.03999999999994</v>
      </c>
      <c r="C18" s="2">
        <f t="shared" si="0"/>
        <v>10.75</v>
      </c>
      <c r="D18" s="1">
        <v>12</v>
      </c>
      <c r="E18" s="1">
        <v>5</v>
      </c>
    </row>
    <row r="19" spans="1:6">
      <c r="A19" s="1" t="s">
        <v>11</v>
      </c>
      <c r="B19" s="2">
        <f t="shared" si="1"/>
        <v>246.07999999999993</v>
      </c>
      <c r="C19" s="2">
        <f t="shared" si="0"/>
        <v>10.75</v>
      </c>
      <c r="D19" s="1">
        <v>13</v>
      </c>
      <c r="E19" s="1">
        <v>5</v>
      </c>
    </row>
    <row r="20" spans="1:6">
      <c r="A20" s="1" t="s">
        <v>12</v>
      </c>
      <c r="B20" s="2">
        <f t="shared" si="1"/>
        <v>265.11999999999995</v>
      </c>
      <c r="C20" s="2">
        <f t="shared" si="0"/>
        <v>10.75</v>
      </c>
      <c r="D20" s="1">
        <v>14</v>
      </c>
      <c r="E20" s="1">
        <v>5</v>
      </c>
    </row>
    <row r="21" spans="1:6">
      <c r="A21" s="1" t="s">
        <v>13</v>
      </c>
      <c r="B21" s="2">
        <f t="shared" si="1"/>
        <v>284.15999999999997</v>
      </c>
      <c r="C21" s="2">
        <f t="shared" si="0"/>
        <v>10.75</v>
      </c>
      <c r="D21" s="1">
        <v>15</v>
      </c>
      <c r="E21" s="1">
        <v>5</v>
      </c>
    </row>
    <row r="22" spans="1:6">
      <c r="A22" s="1" t="s">
        <v>14</v>
      </c>
      <c r="B22" s="2">
        <f t="shared" si="1"/>
        <v>303.2</v>
      </c>
      <c r="C22" s="2">
        <f t="shared" si="0"/>
        <v>10.75</v>
      </c>
      <c r="D22" s="1">
        <v>16</v>
      </c>
      <c r="E22" s="1">
        <v>5</v>
      </c>
    </row>
    <row r="23" spans="1:6">
      <c r="A23" s="1" t="s">
        <v>15</v>
      </c>
      <c r="B23" s="11">
        <f>measured!N57</f>
        <v>353.84999999999997</v>
      </c>
      <c r="C23" s="2">
        <f t="shared" si="0"/>
        <v>10.75</v>
      </c>
      <c r="D23" s="1">
        <v>17</v>
      </c>
      <c r="E23" s="1">
        <v>5</v>
      </c>
    </row>
    <row r="24" spans="1:6">
      <c r="A24" s="1" t="s">
        <v>19</v>
      </c>
      <c r="B24" s="2">
        <f>measured!C23</f>
        <v>27.200000000000003</v>
      </c>
      <c r="C24" s="2">
        <f>C7+C5</f>
        <v>29.8</v>
      </c>
      <c r="D24" s="1">
        <v>1</v>
      </c>
      <c r="E24" s="1">
        <v>4</v>
      </c>
      <c r="F24" t="s">
        <v>96</v>
      </c>
    </row>
    <row r="25" spans="1:6">
      <c r="A25" s="1" t="s">
        <v>20</v>
      </c>
      <c r="B25" s="2">
        <f>B24+$B$5</f>
        <v>46.24</v>
      </c>
      <c r="C25" s="2">
        <f t="shared" ref="C25:C39" si="2">C24</f>
        <v>29.8</v>
      </c>
      <c r="D25" s="1">
        <v>2</v>
      </c>
      <c r="E25" s="1">
        <v>4</v>
      </c>
    </row>
    <row r="26" spans="1:6">
      <c r="A26" s="1" t="s">
        <v>21</v>
      </c>
      <c r="B26" s="2">
        <f t="shared" ref="B26:B38" si="3">B25+$B$5</f>
        <v>65.28</v>
      </c>
      <c r="C26" s="2">
        <f t="shared" si="2"/>
        <v>29.8</v>
      </c>
      <c r="D26" s="1">
        <v>3</v>
      </c>
      <c r="E26" s="1">
        <v>4</v>
      </c>
    </row>
    <row r="27" spans="1:6">
      <c r="A27" s="1" t="s">
        <v>22</v>
      </c>
      <c r="B27" s="2">
        <f t="shared" si="3"/>
        <v>84.32</v>
      </c>
      <c r="C27" s="2">
        <f t="shared" si="2"/>
        <v>29.8</v>
      </c>
      <c r="D27" s="1">
        <v>4</v>
      </c>
      <c r="E27" s="1">
        <v>4</v>
      </c>
    </row>
    <row r="28" spans="1:6">
      <c r="A28" s="1" t="s">
        <v>23</v>
      </c>
      <c r="B28" s="2">
        <f t="shared" si="3"/>
        <v>103.35999999999999</v>
      </c>
      <c r="C28" s="2">
        <f t="shared" si="2"/>
        <v>29.8</v>
      </c>
      <c r="D28" s="1">
        <v>5</v>
      </c>
      <c r="E28" s="1">
        <v>4</v>
      </c>
    </row>
    <row r="29" spans="1:6">
      <c r="A29" s="1" t="s">
        <v>24</v>
      </c>
      <c r="B29" s="2">
        <f t="shared" si="3"/>
        <v>122.39999999999998</v>
      </c>
      <c r="C29" s="2">
        <f t="shared" si="2"/>
        <v>29.8</v>
      </c>
      <c r="D29" s="1">
        <v>6</v>
      </c>
      <c r="E29" s="1">
        <v>4</v>
      </c>
    </row>
    <row r="30" spans="1:6">
      <c r="A30" s="1" t="s">
        <v>25</v>
      </c>
      <c r="B30" s="2">
        <f t="shared" si="3"/>
        <v>141.43999999999997</v>
      </c>
      <c r="C30" s="2">
        <f t="shared" si="2"/>
        <v>29.8</v>
      </c>
      <c r="D30" s="1">
        <v>7</v>
      </c>
      <c r="E30" s="1">
        <v>4</v>
      </c>
    </row>
    <row r="31" spans="1:6">
      <c r="A31" s="1" t="s">
        <v>26</v>
      </c>
      <c r="B31" s="2">
        <f t="shared" si="3"/>
        <v>160.47999999999996</v>
      </c>
      <c r="C31" s="2">
        <f t="shared" si="2"/>
        <v>29.8</v>
      </c>
      <c r="D31" s="1">
        <v>8</v>
      </c>
      <c r="E31" s="1">
        <v>4</v>
      </c>
    </row>
    <row r="32" spans="1:6">
      <c r="A32" s="1" t="s">
        <v>174</v>
      </c>
      <c r="B32" s="2">
        <f t="shared" si="3"/>
        <v>179.51999999999995</v>
      </c>
      <c r="C32" s="2">
        <f t="shared" si="2"/>
        <v>29.8</v>
      </c>
      <c r="D32" s="1">
        <v>9</v>
      </c>
      <c r="E32" s="1">
        <v>4</v>
      </c>
    </row>
    <row r="33" spans="1:6">
      <c r="A33" s="1" t="s">
        <v>27</v>
      </c>
      <c r="B33" s="2">
        <f t="shared" si="3"/>
        <v>198.55999999999995</v>
      </c>
      <c r="C33" s="2">
        <f t="shared" si="2"/>
        <v>29.8</v>
      </c>
      <c r="D33" s="1">
        <v>10</v>
      </c>
      <c r="E33" s="1">
        <v>4</v>
      </c>
    </row>
    <row r="34" spans="1:6">
      <c r="A34" s="1" t="s">
        <v>28</v>
      </c>
      <c r="B34" s="2">
        <f t="shared" si="3"/>
        <v>217.59999999999994</v>
      </c>
      <c r="C34" s="2">
        <f t="shared" si="2"/>
        <v>29.8</v>
      </c>
      <c r="D34" s="1">
        <v>11</v>
      </c>
      <c r="E34" s="1">
        <v>4</v>
      </c>
    </row>
    <row r="35" spans="1:6">
      <c r="A35" s="1" t="s">
        <v>29</v>
      </c>
      <c r="B35" s="2">
        <f t="shared" si="3"/>
        <v>236.63999999999993</v>
      </c>
      <c r="C35" s="2">
        <f t="shared" si="2"/>
        <v>29.8</v>
      </c>
      <c r="D35" s="1">
        <v>12</v>
      </c>
      <c r="E35" s="1">
        <v>4</v>
      </c>
    </row>
    <row r="36" spans="1:6">
      <c r="A36" s="1" t="s">
        <v>30</v>
      </c>
      <c r="B36" s="2">
        <f t="shared" si="3"/>
        <v>255.67999999999992</v>
      </c>
      <c r="C36" s="2">
        <f t="shared" si="2"/>
        <v>29.8</v>
      </c>
      <c r="D36" s="1">
        <v>13</v>
      </c>
      <c r="E36" s="1">
        <v>4</v>
      </c>
    </row>
    <row r="37" spans="1:6">
      <c r="A37" s="1" t="s">
        <v>31</v>
      </c>
      <c r="B37" s="2">
        <f t="shared" si="3"/>
        <v>274.71999999999991</v>
      </c>
      <c r="C37" s="2">
        <f t="shared" si="2"/>
        <v>29.8</v>
      </c>
      <c r="D37" s="1">
        <v>14</v>
      </c>
      <c r="E37" s="1">
        <v>4</v>
      </c>
    </row>
    <row r="38" spans="1:6">
      <c r="A38" s="1" t="s">
        <v>32</v>
      </c>
      <c r="B38" s="2">
        <f t="shared" si="3"/>
        <v>293.75999999999993</v>
      </c>
      <c r="C38" s="2">
        <f t="shared" si="2"/>
        <v>29.8</v>
      </c>
      <c r="D38" s="1">
        <v>15</v>
      </c>
      <c r="E38" s="1">
        <v>4</v>
      </c>
    </row>
    <row r="39" spans="1:6">
      <c r="A39" s="1" t="s">
        <v>37</v>
      </c>
      <c r="B39" s="2">
        <f>measured!N57</f>
        <v>353.84999999999997</v>
      </c>
      <c r="C39" s="2">
        <f t="shared" si="2"/>
        <v>29.8</v>
      </c>
      <c r="D39" s="1">
        <v>16</v>
      </c>
      <c r="E39" s="1">
        <v>4</v>
      </c>
    </row>
    <row r="40" spans="1:6">
      <c r="A40" s="1" t="s">
        <v>38</v>
      </c>
      <c r="B40" s="2">
        <v>12.8</v>
      </c>
      <c r="C40" s="2">
        <f>C39+C5</f>
        <v>48.85</v>
      </c>
      <c r="D40" s="1">
        <v>1</v>
      </c>
      <c r="E40" s="1">
        <v>3</v>
      </c>
      <c r="F40" t="s">
        <v>97</v>
      </c>
    </row>
    <row r="41" spans="1:6">
      <c r="A41" s="1" t="s">
        <v>39</v>
      </c>
      <c r="B41" s="2">
        <f>B40+$B$5</f>
        <v>31.84</v>
      </c>
      <c r="C41" s="2">
        <f t="shared" ref="C41:C55" si="4">C40</f>
        <v>48.85</v>
      </c>
      <c r="D41" s="1">
        <v>2</v>
      </c>
      <c r="E41" s="1">
        <v>3</v>
      </c>
    </row>
    <row r="42" spans="1:6">
      <c r="A42" s="1" t="s">
        <v>40</v>
      </c>
      <c r="B42" s="2">
        <f t="shared" ref="B42:B53" si="5">B41+$B$5</f>
        <v>50.879999999999995</v>
      </c>
      <c r="C42" s="2">
        <f t="shared" si="4"/>
        <v>48.85</v>
      </c>
      <c r="D42" s="1">
        <v>3</v>
      </c>
      <c r="E42" s="1">
        <v>3</v>
      </c>
    </row>
    <row r="43" spans="1:6">
      <c r="A43" s="1" t="s">
        <v>54</v>
      </c>
      <c r="B43" s="2">
        <f t="shared" si="5"/>
        <v>69.919999999999987</v>
      </c>
      <c r="C43" s="2">
        <f t="shared" si="4"/>
        <v>48.85</v>
      </c>
      <c r="D43" s="1">
        <v>4</v>
      </c>
      <c r="E43" s="1">
        <v>3</v>
      </c>
    </row>
    <row r="44" spans="1:6">
      <c r="A44" s="1" t="s">
        <v>41</v>
      </c>
      <c r="B44" s="2">
        <f t="shared" si="5"/>
        <v>88.95999999999998</v>
      </c>
      <c r="C44" s="2">
        <f t="shared" si="4"/>
        <v>48.85</v>
      </c>
      <c r="D44" s="1">
        <v>5</v>
      </c>
      <c r="E44" s="1">
        <v>3</v>
      </c>
    </row>
    <row r="45" spans="1:6">
      <c r="A45" s="1" t="s">
        <v>42</v>
      </c>
      <c r="B45" s="2">
        <f t="shared" si="5"/>
        <v>107.99999999999997</v>
      </c>
      <c r="C45" s="2">
        <f t="shared" si="4"/>
        <v>48.85</v>
      </c>
      <c r="D45" s="1">
        <v>6</v>
      </c>
      <c r="E45" s="1">
        <v>3</v>
      </c>
    </row>
    <row r="46" spans="1:6">
      <c r="A46" s="1" t="s">
        <v>43</v>
      </c>
      <c r="B46" s="2">
        <f t="shared" si="5"/>
        <v>127.03999999999996</v>
      </c>
      <c r="C46" s="2">
        <f t="shared" si="4"/>
        <v>48.85</v>
      </c>
      <c r="D46" s="1">
        <v>7</v>
      </c>
      <c r="E46" s="1">
        <v>3</v>
      </c>
    </row>
    <row r="47" spans="1:6">
      <c r="A47" s="1" t="s">
        <v>44</v>
      </c>
      <c r="B47" s="2">
        <f t="shared" si="5"/>
        <v>146.07999999999996</v>
      </c>
      <c r="C47" s="2">
        <f t="shared" si="4"/>
        <v>48.85</v>
      </c>
      <c r="D47" s="1">
        <v>8</v>
      </c>
      <c r="E47" s="1">
        <v>3</v>
      </c>
    </row>
    <row r="48" spans="1:6">
      <c r="A48" s="1" t="s">
        <v>45</v>
      </c>
      <c r="B48" s="2">
        <f t="shared" si="5"/>
        <v>165.11999999999995</v>
      </c>
      <c r="C48" s="2">
        <f t="shared" si="4"/>
        <v>48.85</v>
      </c>
      <c r="D48" s="1">
        <v>9</v>
      </c>
      <c r="E48" s="1">
        <v>3</v>
      </c>
    </row>
    <row r="49" spans="1:6">
      <c r="A49" s="1" t="s">
        <v>46</v>
      </c>
      <c r="B49" s="2">
        <f t="shared" si="5"/>
        <v>184.15999999999994</v>
      </c>
      <c r="C49" s="2">
        <f t="shared" si="4"/>
        <v>48.85</v>
      </c>
      <c r="D49" s="1">
        <v>10</v>
      </c>
      <c r="E49" s="1">
        <v>3</v>
      </c>
    </row>
    <row r="50" spans="1:6">
      <c r="A50" s="1" t="s">
        <v>47</v>
      </c>
      <c r="B50" s="2">
        <f t="shared" si="5"/>
        <v>203.19999999999993</v>
      </c>
      <c r="C50" s="2">
        <f t="shared" si="4"/>
        <v>48.85</v>
      </c>
      <c r="D50" s="1">
        <v>11</v>
      </c>
      <c r="E50" s="1">
        <v>3</v>
      </c>
    </row>
    <row r="51" spans="1:6">
      <c r="A51" s="1" t="s">
        <v>48</v>
      </c>
      <c r="B51" s="2">
        <f t="shared" si="5"/>
        <v>222.23999999999992</v>
      </c>
      <c r="C51" s="2">
        <f t="shared" si="4"/>
        <v>48.85</v>
      </c>
      <c r="D51" s="1">
        <v>12</v>
      </c>
      <c r="E51" s="1">
        <v>3</v>
      </c>
    </row>
    <row r="52" spans="1:6">
      <c r="A52" s="1" t="s">
        <v>49</v>
      </c>
      <c r="B52" s="2">
        <f t="shared" si="5"/>
        <v>241.27999999999992</v>
      </c>
      <c r="C52" s="2">
        <f t="shared" si="4"/>
        <v>48.85</v>
      </c>
      <c r="D52" s="1">
        <v>13</v>
      </c>
      <c r="E52" s="1">
        <v>3</v>
      </c>
    </row>
    <row r="53" spans="1:6">
      <c r="A53" s="1" t="s">
        <v>50</v>
      </c>
      <c r="B53" s="2">
        <f t="shared" si="5"/>
        <v>260.31999999999994</v>
      </c>
      <c r="C53" s="2">
        <f t="shared" si="4"/>
        <v>48.85</v>
      </c>
      <c r="D53" s="1">
        <v>14</v>
      </c>
      <c r="E53" s="1">
        <v>3</v>
      </c>
    </row>
    <row r="54" spans="1:6">
      <c r="A54" s="1" t="s">
        <v>51</v>
      </c>
      <c r="B54" s="2">
        <f>B53+1.5*B5</f>
        <v>288.87999999999994</v>
      </c>
      <c r="C54" s="2">
        <f t="shared" si="4"/>
        <v>48.85</v>
      </c>
      <c r="D54" s="1">
        <v>15</v>
      </c>
      <c r="E54" s="1">
        <v>3</v>
      </c>
    </row>
    <row r="55" spans="1:6">
      <c r="A55" s="1" t="s">
        <v>52</v>
      </c>
      <c r="B55" s="2">
        <f>measured!N57</f>
        <v>353.84999999999997</v>
      </c>
      <c r="C55" s="2">
        <f t="shared" si="4"/>
        <v>48.85</v>
      </c>
      <c r="D55" s="1">
        <v>16</v>
      </c>
      <c r="E55" s="1">
        <v>3</v>
      </c>
    </row>
    <row r="56" spans="1:6">
      <c r="A56" s="1" t="s">
        <v>56</v>
      </c>
      <c r="B56" s="2">
        <f>B40</f>
        <v>12.8</v>
      </c>
      <c r="C56" s="2">
        <f>C55+C5</f>
        <v>67.900000000000006</v>
      </c>
      <c r="D56" s="1">
        <v>1</v>
      </c>
      <c r="E56" s="1">
        <v>2</v>
      </c>
      <c r="F56" t="s">
        <v>97</v>
      </c>
    </row>
    <row r="57" spans="1:6">
      <c r="A57" s="1" t="s">
        <v>67</v>
      </c>
      <c r="B57" s="2">
        <f>B56+1.5*B5</f>
        <v>41.36</v>
      </c>
      <c r="C57" s="2">
        <f t="shared" ref="C57:C71" si="6">C56</f>
        <v>67.900000000000006</v>
      </c>
      <c r="D57" s="1">
        <v>2</v>
      </c>
      <c r="E57" s="1">
        <v>2</v>
      </c>
    </row>
    <row r="58" spans="1:6">
      <c r="A58" s="1" t="s">
        <v>58</v>
      </c>
      <c r="B58" s="2">
        <f>B57+$B$5</f>
        <v>60.4</v>
      </c>
      <c r="C58" s="2">
        <f t="shared" si="6"/>
        <v>67.900000000000006</v>
      </c>
      <c r="D58" s="1">
        <v>3</v>
      </c>
      <c r="E58" s="1">
        <v>2</v>
      </c>
    </row>
    <row r="59" spans="1:6">
      <c r="A59" s="1" t="s">
        <v>57</v>
      </c>
      <c r="B59" s="2">
        <f t="shared" ref="B59:B67" si="7">B58+$B$5</f>
        <v>79.44</v>
      </c>
      <c r="C59" s="2">
        <f t="shared" si="6"/>
        <v>67.900000000000006</v>
      </c>
      <c r="D59" s="1">
        <v>4</v>
      </c>
      <c r="E59" s="1">
        <v>2</v>
      </c>
    </row>
    <row r="60" spans="1:6">
      <c r="A60" s="1" t="s">
        <v>59</v>
      </c>
      <c r="B60" s="2">
        <f t="shared" si="7"/>
        <v>98.47999999999999</v>
      </c>
      <c r="C60" s="2">
        <f t="shared" si="6"/>
        <v>67.900000000000006</v>
      </c>
      <c r="D60" s="1">
        <v>5</v>
      </c>
      <c r="E60" s="1">
        <v>2</v>
      </c>
    </row>
    <row r="61" spans="1:6">
      <c r="A61" s="1" t="s">
        <v>60</v>
      </c>
      <c r="B61" s="2">
        <f t="shared" si="7"/>
        <v>117.51999999999998</v>
      </c>
      <c r="C61" s="2">
        <f t="shared" si="6"/>
        <v>67.900000000000006</v>
      </c>
      <c r="D61" s="1">
        <v>6</v>
      </c>
      <c r="E61" s="1">
        <v>2</v>
      </c>
    </row>
    <row r="62" spans="1:6">
      <c r="A62" s="1" t="s">
        <v>61</v>
      </c>
      <c r="B62" s="2">
        <f t="shared" si="7"/>
        <v>136.55999999999997</v>
      </c>
      <c r="C62" s="2">
        <f t="shared" si="6"/>
        <v>67.900000000000006</v>
      </c>
      <c r="D62" s="1">
        <v>7</v>
      </c>
      <c r="E62" s="1">
        <v>2</v>
      </c>
    </row>
    <row r="63" spans="1:6">
      <c r="A63" s="1" t="s">
        <v>62</v>
      </c>
      <c r="B63" s="2">
        <f t="shared" si="7"/>
        <v>155.59999999999997</v>
      </c>
      <c r="C63" s="2">
        <f t="shared" si="6"/>
        <v>67.900000000000006</v>
      </c>
      <c r="D63" s="1">
        <v>8</v>
      </c>
      <c r="E63" s="1">
        <v>2</v>
      </c>
    </row>
    <row r="64" spans="1:6">
      <c r="A64" s="1" t="s">
        <v>63</v>
      </c>
      <c r="B64" s="2">
        <f t="shared" si="7"/>
        <v>174.63999999999996</v>
      </c>
      <c r="C64" s="2">
        <f t="shared" si="6"/>
        <v>67.900000000000006</v>
      </c>
      <c r="D64" s="1">
        <v>9</v>
      </c>
      <c r="E64" s="1">
        <v>2</v>
      </c>
    </row>
    <row r="65" spans="1:6">
      <c r="A65" s="1" t="s">
        <v>64</v>
      </c>
      <c r="B65" s="2">
        <f t="shared" si="7"/>
        <v>193.67999999999995</v>
      </c>
      <c r="C65" s="2">
        <f t="shared" si="6"/>
        <v>67.900000000000006</v>
      </c>
      <c r="D65" s="1">
        <v>10</v>
      </c>
      <c r="E65" s="1">
        <v>2</v>
      </c>
    </row>
    <row r="66" spans="1:6">
      <c r="A66" s="1" t="s">
        <v>65</v>
      </c>
      <c r="B66" s="2">
        <f t="shared" si="7"/>
        <v>212.71999999999994</v>
      </c>
      <c r="C66" s="2">
        <f t="shared" si="6"/>
        <v>67.900000000000006</v>
      </c>
      <c r="D66" s="1">
        <v>11</v>
      </c>
      <c r="E66" s="1">
        <v>2</v>
      </c>
    </row>
    <row r="67" spans="1:6">
      <c r="A67" s="1" t="s">
        <v>66</v>
      </c>
      <c r="B67" s="2">
        <f t="shared" si="7"/>
        <v>231.75999999999993</v>
      </c>
      <c r="C67" s="2">
        <f t="shared" si="6"/>
        <v>67.900000000000006</v>
      </c>
      <c r="D67" s="1">
        <v>12</v>
      </c>
      <c r="E67" s="1">
        <v>2</v>
      </c>
    </row>
    <row r="68" spans="1:6">
      <c r="A68" s="1" t="s">
        <v>68</v>
      </c>
      <c r="B68" s="2">
        <f>B67+1.5*B5</f>
        <v>260.31999999999994</v>
      </c>
      <c r="C68" s="2">
        <f t="shared" si="6"/>
        <v>67.900000000000006</v>
      </c>
      <c r="D68" s="1">
        <v>13</v>
      </c>
      <c r="E68" s="1">
        <v>2</v>
      </c>
    </row>
    <row r="69" spans="1:6">
      <c r="A69" s="1" t="s">
        <v>69</v>
      </c>
      <c r="B69" s="2">
        <f>B68+$B$5</f>
        <v>279.35999999999996</v>
      </c>
      <c r="C69" s="2">
        <f t="shared" si="6"/>
        <v>67.900000000000006</v>
      </c>
      <c r="D69" s="1">
        <v>14</v>
      </c>
      <c r="E69" s="1">
        <v>2</v>
      </c>
    </row>
    <row r="70" spans="1:6">
      <c r="A70" s="1" t="s">
        <v>70</v>
      </c>
      <c r="B70" s="2">
        <f>B69+$B$5</f>
        <v>298.39999999999998</v>
      </c>
      <c r="C70" s="2">
        <f t="shared" si="6"/>
        <v>67.900000000000006</v>
      </c>
      <c r="D70" s="1">
        <v>15</v>
      </c>
      <c r="E70" s="1">
        <v>2</v>
      </c>
    </row>
    <row r="71" spans="1:6">
      <c r="A71" s="1" t="s">
        <v>71</v>
      </c>
      <c r="B71" s="2">
        <f>measured!N57</f>
        <v>353.84999999999997</v>
      </c>
      <c r="C71" s="2">
        <f t="shared" si="6"/>
        <v>67.900000000000006</v>
      </c>
      <c r="D71" s="1">
        <v>16</v>
      </c>
      <c r="E71" s="1">
        <v>2</v>
      </c>
    </row>
    <row r="72" spans="1:6">
      <c r="A72" s="1" t="s">
        <v>76</v>
      </c>
      <c r="B72" s="2">
        <f>measured!C71</f>
        <v>141.375</v>
      </c>
      <c r="C72" s="2">
        <f>C71+C5</f>
        <v>86.95</v>
      </c>
      <c r="D72" s="1">
        <v>1</v>
      </c>
      <c r="E72" s="1">
        <v>1</v>
      </c>
      <c r="F72" t="s">
        <v>98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1F7F9-8604-485A-B8A4-4073512FCA60}">
  <dimension ref="A1:K68"/>
  <sheetViews>
    <sheetView zoomScale="85" zoomScaleNormal="85" workbookViewId="0">
      <selection activeCell="L3" sqref="L3"/>
    </sheetView>
  </sheetViews>
  <sheetFormatPr baseColWidth="10" defaultRowHeight="13.8"/>
  <sheetData>
    <row r="1" spans="1:11">
      <c r="A1" t="s">
        <v>95</v>
      </c>
    </row>
    <row r="2" spans="1:11" ht="14.4">
      <c r="A2" t="s">
        <v>0</v>
      </c>
      <c r="B2" s="1" t="s">
        <v>2</v>
      </c>
      <c r="C2" s="1" t="s">
        <v>3</v>
      </c>
      <c r="D2" s="1" t="s">
        <v>6</v>
      </c>
      <c r="E2" s="1" t="s">
        <v>7</v>
      </c>
      <c r="G2" s="12" t="s">
        <v>99</v>
      </c>
      <c r="H2" s="9" t="s">
        <v>100</v>
      </c>
      <c r="I2" s="9" t="s">
        <v>193</v>
      </c>
      <c r="J2" s="12" t="s">
        <v>101</v>
      </c>
      <c r="K2" s="13" t="s">
        <v>102</v>
      </c>
    </row>
    <row r="3" spans="1:11">
      <c r="A3" s="1" t="s">
        <v>8</v>
      </c>
      <c r="B3" s="2">
        <f>calculated!B7-measured!C6</f>
        <v>-0.17499999999999716</v>
      </c>
      <c r="C3" s="2">
        <f>calculated!C7-measured!D6</f>
        <v>-2.5000000000000355E-2</v>
      </c>
      <c r="D3" s="1">
        <v>1</v>
      </c>
      <c r="E3" s="1">
        <v>5</v>
      </c>
      <c r="G3" s="6">
        <f>Tabelle134[[#This Row],[x]]^2</f>
        <v>3.0624999999999004E-2</v>
      </c>
      <c r="H3" s="6">
        <f>SUM(G3:G19)</f>
        <v>0.20987500000000081</v>
      </c>
      <c r="I3" s="15">
        <f>STDEVP(B3:B19)</f>
        <v>0.11086713891568499</v>
      </c>
      <c r="J3" s="6">
        <f>(Tabelle134[[#This Row],[y]])^2</f>
        <v>6.2500000000001779E-4</v>
      </c>
      <c r="K3" s="6">
        <f>SUM(J3:J19)</f>
        <v>0.11437499999999916</v>
      </c>
    </row>
    <row r="4" spans="1:11">
      <c r="A4" s="1">
        <v>1</v>
      </c>
      <c r="B4" s="2">
        <f>calculated!B8-measured!C7</f>
        <v>-9.9999999999980105E-3</v>
      </c>
      <c r="C4" s="2">
        <f>calculated!C8-measured!D7</f>
        <v>0</v>
      </c>
      <c r="D4" s="1">
        <v>2</v>
      </c>
      <c r="E4" s="1">
        <v>5</v>
      </c>
      <c r="G4" s="6">
        <f>Tabelle134[[#This Row],[x]]^2</f>
        <v>9.9999999999960215E-5</v>
      </c>
      <c r="J4" s="6">
        <f>(Tabelle134[[#This Row],[y]])^2</f>
        <v>0</v>
      </c>
    </row>
    <row r="5" spans="1:11">
      <c r="A5" s="1">
        <v>2</v>
      </c>
      <c r="B5" s="2">
        <f>calculated!B9-measured!C8</f>
        <v>3.0000000000001137E-2</v>
      </c>
      <c r="C5" s="2">
        <f>calculated!C9-measured!D8</f>
        <v>-9.9999999999999645E-2</v>
      </c>
      <c r="D5" s="1">
        <v>3</v>
      </c>
      <c r="E5" s="1">
        <v>5</v>
      </c>
      <c r="G5" s="6">
        <f>Tabelle134[[#This Row],[x]]^2</f>
        <v>9.0000000000006817E-4</v>
      </c>
      <c r="J5" s="6">
        <f>(Tabelle134[[#This Row],[y]])^2</f>
        <v>9.9999999999999291E-3</v>
      </c>
    </row>
    <row r="6" spans="1:11">
      <c r="A6" s="1">
        <v>3</v>
      </c>
      <c r="B6" s="2">
        <f>calculated!B10-measured!C9</f>
        <v>-3.0000000000001137E-2</v>
      </c>
      <c r="C6" s="2">
        <f>calculated!C10-measured!D9</f>
        <v>9.9999999999999645E-2</v>
      </c>
      <c r="D6" s="1">
        <v>4</v>
      </c>
      <c r="E6" s="1">
        <v>5</v>
      </c>
      <c r="G6" s="6">
        <f>Tabelle134[[#This Row],[x]]^2</f>
        <v>9.0000000000006817E-4</v>
      </c>
      <c r="J6" s="6">
        <f>(Tabelle134[[#This Row],[y]])^2</f>
        <v>9.9999999999999291E-3</v>
      </c>
    </row>
    <row r="7" spans="1:11">
      <c r="A7" s="1">
        <v>4</v>
      </c>
      <c r="B7" s="2">
        <f>calculated!B11-measured!C10</f>
        <v>9.9999999999909051E-3</v>
      </c>
      <c r="C7" s="2">
        <f>calculated!C11-measured!D10</f>
        <v>9.9999999999999645E-2</v>
      </c>
      <c r="D7" s="1">
        <v>5</v>
      </c>
      <c r="E7" s="1">
        <v>5</v>
      </c>
      <c r="G7" s="6">
        <f>Tabelle134[[#This Row],[x]]^2</f>
        <v>9.9999999999818103E-5</v>
      </c>
      <c r="J7" s="6">
        <f>(Tabelle134[[#This Row],[y]])^2</f>
        <v>9.9999999999999291E-3</v>
      </c>
    </row>
    <row r="8" spans="1:11">
      <c r="A8" s="1">
        <v>5</v>
      </c>
      <c r="B8" s="2">
        <f>calculated!B12-measured!C11</f>
        <v>2.4999999999977263E-2</v>
      </c>
      <c r="C8" s="2">
        <f>calculated!C12-measured!D11</f>
        <v>7.4999999999999289E-2</v>
      </c>
      <c r="D8" s="1">
        <v>6</v>
      </c>
      <c r="E8" s="1">
        <v>5</v>
      </c>
      <c r="G8" s="6">
        <f>Tabelle134[[#This Row],[x]]^2</f>
        <v>6.2499999999886312E-4</v>
      </c>
      <c r="J8" s="6">
        <f>(Tabelle134[[#This Row],[y]])^2</f>
        <v>5.6249999999998931E-3</v>
      </c>
    </row>
    <row r="9" spans="1:11">
      <c r="A9" s="1">
        <v>6</v>
      </c>
      <c r="B9" s="2">
        <f>calculated!B13-measured!C12</f>
        <v>-6.0000000000030695E-2</v>
      </c>
      <c r="C9" s="2">
        <f>calculated!C13-measured!D12</f>
        <v>0</v>
      </c>
      <c r="D9" s="1">
        <v>7</v>
      </c>
      <c r="E9" s="1">
        <v>5</v>
      </c>
      <c r="G9" s="6">
        <f>Tabelle134[[#This Row],[x]]^2</f>
        <v>3.6000000000036836E-3</v>
      </c>
      <c r="J9" s="6">
        <f>(Tabelle134[[#This Row],[y]])^2</f>
        <v>0</v>
      </c>
    </row>
    <row r="10" spans="1:11">
      <c r="A10" s="1">
        <v>7</v>
      </c>
      <c r="B10" s="2">
        <f>calculated!B14-measured!C13</f>
        <v>0.10499999999998977</v>
      </c>
      <c r="C10" s="2">
        <f>calculated!C14-measured!D13</f>
        <v>7.4999999999999289E-2</v>
      </c>
      <c r="D10" s="1">
        <v>8</v>
      </c>
      <c r="E10" s="1">
        <v>5</v>
      </c>
      <c r="G10" s="6">
        <f>Tabelle134[[#This Row],[x]]^2</f>
        <v>1.1024999999997851E-2</v>
      </c>
      <c r="J10" s="6">
        <f>(Tabelle134[[#This Row],[y]])^2</f>
        <v>5.6249999999998931E-3</v>
      </c>
    </row>
    <row r="11" spans="1:11">
      <c r="A11" s="1">
        <v>8</v>
      </c>
      <c r="B11" s="2">
        <f>calculated!B15-measured!C14</f>
        <v>-0.13000000000002387</v>
      </c>
      <c r="C11" s="2">
        <f>calculated!C15-measured!D14</f>
        <v>-4.9999999999998934E-2</v>
      </c>
      <c r="D11" s="1">
        <v>9</v>
      </c>
      <c r="E11" s="1">
        <v>5</v>
      </c>
      <c r="G11" s="6">
        <f>Tabelle134[[#This Row],[x]]^2</f>
        <v>1.6900000000006209E-2</v>
      </c>
      <c r="J11" s="6">
        <f>(Tabelle134[[#This Row],[y]])^2</f>
        <v>2.4999999999998934E-3</v>
      </c>
    </row>
    <row r="12" spans="1:11">
      <c r="A12" s="1">
        <v>9</v>
      </c>
      <c r="B12" s="2">
        <f>calculated!B16-measured!C15</f>
        <v>-0.1400000000000432</v>
      </c>
      <c r="C12" s="2">
        <f>calculated!C16-measured!D15</f>
        <v>0.15000000000000036</v>
      </c>
      <c r="D12" s="1">
        <v>10</v>
      </c>
      <c r="E12" s="1">
        <v>5</v>
      </c>
      <c r="G12" s="6">
        <f>Tabelle134[[#This Row],[x]]^2</f>
        <v>1.9600000000012097E-2</v>
      </c>
      <c r="J12" s="6">
        <f>(Tabelle134[[#This Row],[y]])^2</f>
        <v>2.2500000000000107E-2</v>
      </c>
    </row>
    <row r="13" spans="1:11">
      <c r="A13" s="1">
        <v>0</v>
      </c>
      <c r="B13" s="2">
        <f>calculated!B17-measured!C16</f>
        <v>-7.5000000000045475E-2</v>
      </c>
      <c r="C13" s="2">
        <f>calculated!C17-measured!D16</f>
        <v>-2.4999999999998579E-2</v>
      </c>
      <c r="D13" s="1">
        <v>11</v>
      </c>
      <c r="E13" s="1">
        <v>5</v>
      </c>
      <c r="G13" s="6">
        <f>Tabelle134[[#This Row],[x]]^2</f>
        <v>5.6250000000068216E-3</v>
      </c>
      <c r="J13" s="6">
        <f>(Tabelle134[[#This Row],[y]])^2</f>
        <v>6.24999999999929E-4</v>
      </c>
    </row>
    <row r="14" spans="1:11">
      <c r="A14" s="1" t="s">
        <v>10</v>
      </c>
      <c r="B14" s="2">
        <f>calculated!B18-measured!C17</f>
        <v>-1.0000000000047748E-2</v>
      </c>
      <c r="C14" s="2">
        <f>calculated!C18-measured!D17</f>
        <v>0</v>
      </c>
      <c r="D14" s="1">
        <v>12</v>
      </c>
      <c r="E14" s="1">
        <v>5</v>
      </c>
      <c r="G14" s="6">
        <f>Tabelle134[[#This Row],[x]]^2</f>
        <v>1.0000000000095497E-4</v>
      </c>
      <c r="J14" s="6">
        <f>(Tabelle134[[#This Row],[y]])^2</f>
        <v>0</v>
      </c>
    </row>
    <row r="15" spans="1:11">
      <c r="A15" s="1" t="s">
        <v>11</v>
      </c>
      <c r="B15" s="2">
        <f>calculated!B19-measured!C18</f>
        <v>0.12999999999993861</v>
      </c>
      <c r="C15" s="2">
        <f>calculated!C19-measured!D18</f>
        <v>-9.9999999999999645E-2</v>
      </c>
      <c r="D15" s="1">
        <v>13</v>
      </c>
      <c r="E15" s="1">
        <v>5</v>
      </c>
      <c r="G15" s="6">
        <f>Tabelle134[[#This Row],[x]]^2</f>
        <v>1.6899999999984039E-2</v>
      </c>
      <c r="J15" s="6">
        <f>(Tabelle134[[#This Row],[y]])^2</f>
        <v>9.9999999999999291E-3</v>
      </c>
    </row>
    <row r="16" spans="1:11">
      <c r="A16" s="1" t="s">
        <v>12</v>
      </c>
      <c r="B16" s="2">
        <f>calculated!B20-measured!C19</f>
        <v>0.29499999999995907</v>
      </c>
      <c r="C16" s="2">
        <f>calculated!C20-measured!D19</f>
        <v>7.4999999999999289E-2</v>
      </c>
      <c r="D16" s="1">
        <v>14</v>
      </c>
      <c r="E16" s="1">
        <v>5</v>
      </c>
      <c r="G16" s="6">
        <f>Tabelle134[[#This Row],[x]]^2</f>
        <v>8.7024999999975858E-2</v>
      </c>
      <c r="J16" s="6">
        <f>(Tabelle134[[#This Row],[y]])^2</f>
        <v>5.6249999999998931E-3</v>
      </c>
    </row>
    <row r="17" spans="1:11">
      <c r="A17" s="1" t="s">
        <v>13</v>
      </c>
      <c r="B17" s="2">
        <f>calculated!B21-measured!C20</f>
        <v>-1.5000000000043201E-2</v>
      </c>
      <c r="C17" s="2">
        <f>calculated!C21-measured!D20</f>
        <v>7.4999999999999289E-2</v>
      </c>
      <c r="D17" s="1">
        <v>15</v>
      </c>
      <c r="E17" s="1">
        <v>5</v>
      </c>
      <c r="G17" s="6">
        <f>Tabelle134[[#This Row],[x]]^2</f>
        <v>2.2500000000129602E-4</v>
      </c>
      <c r="J17" s="6">
        <f>(Tabelle134[[#This Row],[y]])^2</f>
        <v>5.6249999999998931E-3</v>
      </c>
    </row>
    <row r="18" spans="1:11">
      <c r="A18" s="1" t="s">
        <v>14</v>
      </c>
      <c r="B18" s="2">
        <f>calculated!B22-measured!C21</f>
        <v>0.10000000000007958</v>
      </c>
      <c r="C18" s="2">
        <f>calculated!C22-measured!D21</f>
        <v>-9.9999999999999645E-2</v>
      </c>
      <c r="D18" s="1">
        <v>16</v>
      </c>
      <c r="E18" s="1">
        <v>5</v>
      </c>
      <c r="G18" s="6">
        <f>Tabelle134[[#This Row],[x]]^2</f>
        <v>1.0000000000015916E-2</v>
      </c>
      <c r="J18" s="6">
        <f>(Tabelle134[[#This Row],[y]])^2</f>
        <v>9.9999999999999291E-3</v>
      </c>
    </row>
    <row r="19" spans="1:11">
      <c r="A19" s="1" t="s">
        <v>15</v>
      </c>
      <c r="B19" s="11">
        <f>calculated!B23-measured!C22</f>
        <v>7.4999999999988631E-2</v>
      </c>
      <c r="C19" s="2">
        <f>calculated!C23-measured!D22</f>
        <v>0.125</v>
      </c>
      <c r="D19" s="1">
        <v>17</v>
      </c>
      <c r="E19" s="1">
        <v>5</v>
      </c>
      <c r="G19" s="6">
        <f>Tabelle134[[#This Row],[x]]^2</f>
        <v>5.6249999999982946E-3</v>
      </c>
      <c r="J19" s="6">
        <f>(Tabelle134[[#This Row],[y]])^2</f>
        <v>1.5625E-2</v>
      </c>
    </row>
    <row r="20" spans="1:11">
      <c r="A20" s="1" t="s">
        <v>19</v>
      </c>
      <c r="B20" s="2">
        <f>calculated!B24-measured!C23</f>
        <v>0</v>
      </c>
      <c r="C20" s="2">
        <f>calculated!C24-measured!D23</f>
        <v>-9.9999999999997868E-2</v>
      </c>
      <c r="D20" s="1">
        <v>1</v>
      </c>
      <c r="E20" s="1">
        <v>4</v>
      </c>
      <c r="G20" s="6">
        <f>Tabelle134[[#This Row],[x]]^2</f>
        <v>0</v>
      </c>
      <c r="H20" s="6">
        <f>SUM(G20:G35)</f>
        <v>0.39137499999995268</v>
      </c>
      <c r="I20" s="15">
        <f>STDEVP(B20:B35)</f>
        <v>0.15412777521832027</v>
      </c>
      <c r="J20" s="6">
        <f>(Tabelle134[[#This Row],[y]])^2</f>
        <v>9.9999999999995735E-3</v>
      </c>
      <c r="K20" s="6">
        <f>SUM(J20:J35)</f>
        <v>0.27937500000000337</v>
      </c>
    </row>
    <row r="21" spans="1:11">
      <c r="A21" s="1" t="s">
        <v>20</v>
      </c>
      <c r="B21" s="2">
        <f>calculated!B25-measured!C24</f>
        <v>-9.9999999999980105E-3</v>
      </c>
      <c r="C21" s="2">
        <f>calculated!C25-measured!D24</f>
        <v>-0.14999999999999503</v>
      </c>
      <c r="D21" s="1">
        <v>2</v>
      </c>
      <c r="E21" s="1">
        <v>4</v>
      </c>
      <c r="G21" s="6">
        <f>Tabelle134[[#This Row],[x]]^2</f>
        <v>9.9999999999960215E-5</v>
      </c>
      <c r="J21" s="6">
        <f>(Tabelle134[[#This Row],[y]])^2</f>
        <v>2.2499999999998507E-2</v>
      </c>
    </row>
    <row r="22" spans="1:11">
      <c r="A22" s="1" t="s">
        <v>21</v>
      </c>
      <c r="B22" s="2">
        <f>calculated!B26-measured!C25</f>
        <v>-1.9999999999996021E-2</v>
      </c>
      <c r="C22" s="2">
        <f>calculated!C26-measured!D25</f>
        <v>0</v>
      </c>
      <c r="D22" s="1">
        <v>3</v>
      </c>
      <c r="E22" s="1">
        <v>4</v>
      </c>
      <c r="G22" s="6">
        <f>Tabelle134[[#This Row],[x]]^2</f>
        <v>3.9999999999984086E-4</v>
      </c>
      <c r="J22" s="6">
        <f>(Tabelle134[[#This Row],[y]])^2</f>
        <v>0</v>
      </c>
    </row>
    <row r="23" spans="1:11">
      <c r="A23" s="1" t="s">
        <v>22</v>
      </c>
      <c r="B23" s="2">
        <f>calculated!B27-measured!C26</f>
        <v>0.17000000000000171</v>
      </c>
      <c r="C23" s="2">
        <f>calculated!C27-measured!D26</f>
        <v>0</v>
      </c>
      <c r="D23" s="1">
        <v>4</v>
      </c>
      <c r="E23" s="1">
        <v>4</v>
      </c>
      <c r="G23" s="6">
        <f>Tabelle134[[#This Row],[x]]^2</f>
        <v>2.8900000000000581E-2</v>
      </c>
      <c r="J23" s="6">
        <f>(Tabelle134[[#This Row],[y]])^2</f>
        <v>0</v>
      </c>
    </row>
    <row r="24" spans="1:11">
      <c r="A24" s="1" t="s">
        <v>23</v>
      </c>
      <c r="B24" s="2">
        <f>calculated!B28-measured!C27</f>
        <v>0.23499999999998522</v>
      </c>
      <c r="C24" s="2">
        <f>calculated!C28-measured!D27</f>
        <v>2.5000000000002132E-2</v>
      </c>
      <c r="D24" s="1">
        <v>5</v>
      </c>
      <c r="E24" s="1">
        <v>4</v>
      </c>
      <c r="G24" s="6">
        <f>Tabelle134[[#This Row],[x]]^2</f>
        <v>5.522499999999305E-2</v>
      </c>
      <c r="J24" s="6">
        <f>(Tabelle134[[#This Row],[y]])^2</f>
        <v>6.2500000000010659E-4</v>
      </c>
    </row>
    <row r="25" spans="1:11">
      <c r="A25" s="1" t="s">
        <v>24</v>
      </c>
      <c r="B25" s="2">
        <f>calculated!B29-measured!C28</f>
        <v>0.32499999999997442</v>
      </c>
      <c r="C25" s="2">
        <f>calculated!C29-measured!D28</f>
        <v>-0.27500000000000213</v>
      </c>
      <c r="D25" s="1">
        <v>6</v>
      </c>
      <c r="E25" s="1">
        <v>4</v>
      </c>
      <c r="G25" s="6">
        <f>Tabelle134[[#This Row],[x]]^2</f>
        <v>0.10562499999998337</v>
      </c>
      <c r="J25" s="6">
        <f>(Tabelle134[[#This Row],[y]])^2</f>
        <v>7.5625000000001177E-2</v>
      </c>
    </row>
    <row r="26" spans="1:11">
      <c r="A26" s="1" t="s">
        <v>25</v>
      </c>
      <c r="B26" s="2">
        <f>calculated!B30-measured!C29</f>
        <v>-1.0000000000019327E-2</v>
      </c>
      <c r="C26" s="2">
        <f>calculated!C30-measured!D29</f>
        <v>5.0000000000000711E-2</v>
      </c>
      <c r="D26" s="1">
        <v>7</v>
      </c>
      <c r="E26" s="1">
        <v>4</v>
      </c>
      <c r="G26" s="6">
        <f>Tabelle134[[#This Row],[x]]^2</f>
        <v>1.0000000000038654E-4</v>
      </c>
      <c r="J26" s="6">
        <f>(Tabelle134[[#This Row],[y]])^2</f>
        <v>2.5000000000000712E-3</v>
      </c>
    </row>
    <row r="27" spans="1:11">
      <c r="A27" s="1" t="s">
        <v>26</v>
      </c>
      <c r="B27" s="2">
        <f>calculated!B31-measured!C30</f>
        <v>-0.3200000000000216</v>
      </c>
      <c r="C27" s="2">
        <f>calculated!C31-measured!D30</f>
        <v>-5.0000000000000711E-2</v>
      </c>
      <c r="D27" s="1">
        <v>8</v>
      </c>
      <c r="E27" s="1">
        <v>4</v>
      </c>
      <c r="G27" s="6">
        <f>Tabelle134[[#This Row],[x]]^2</f>
        <v>0.10240000000001383</v>
      </c>
      <c r="J27" s="6">
        <f>(Tabelle134[[#This Row],[y]])^2</f>
        <v>2.5000000000000712E-3</v>
      </c>
    </row>
    <row r="28" spans="1:11">
      <c r="A28" s="1" t="s">
        <v>174</v>
      </c>
      <c r="B28" s="2">
        <f>calculated!B32-measured!C31</f>
        <v>-0.18000000000003524</v>
      </c>
      <c r="C28" s="2">
        <f>calculated!C32-measured!D31</f>
        <v>5.0000000000000711E-2</v>
      </c>
      <c r="D28" s="1">
        <v>9</v>
      </c>
      <c r="E28" s="1">
        <v>4</v>
      </c>
      <c r="G28" s="6">
        <f>Tabelle134[[#This Row],[x]]^2</f>
        <v>3.2400000000012689E-2</v>
      </c>
      <c r="J28" s="6">
        <f>(Tabelle134[[#This Row],[y]])^2</f>
        <v>2.5000000000000712E-3</v>
      </c>
    </row>
    <row r="29" spans="1:11">
      <c r="A29" s="1" t="s">
        <v>27</v>
      </c>
      <c r="B29" s="2">
        <f>calculated!B33-measured!C32</f>
        <v>9.9999999999340616E-3</v>
      </c>
      <c r="C29" s="2">
        <f>calculated!C33-measured!D32</f>
        <v>-5.0000000000000711E-2</v>
      </c>
      <c r="D29" s="1">
        <v>10</v>
      </c>
      <c r="E29" s="1">
        <v>4</v>
      </c>
      <c r="G29" s="6">
        <f>Tabelle134[[#This Row],[x]]^2</f>
        <v>9.9999999998681235E-5</v>
      </c>
      <c r="J29" s="6">
        <f>(Tabelle134[[#This Row],[y]])^2</f>
        <v>2.5000000000000712E-3</v>
      </c>
    </row>
    <row r="30" spans="1:11">
      <c r="A30" s="1" t="s">
        <v>28</v>
      </c>
      <c r="B30" s="2">
        <f>calculated!B34-measured!C33</f>
        <v>9.9999999999937472E-2</v>
      </c>
      <c r="C30" s="2">
        <f>calculated!C34-measured!D33</f>
        <v>0</v>
      </c>
      <c r="D30" s="1">
        <v>11</v>
      </c>
      <c r="E30" s="1">
        <v>4</v>
      </c>
      <c r="G30" s="6">
        <f>Tabelle134[[#This Row],[x]]^2</f>
        <v>9.9999999999874946E-3</v>
      </c>
      <c r="J30" s="6">
        <f>(Tabelle134[[#This Row],[y]])^2</f>
        <v>0</v>
      </c>
    </row>
    <row r="31" spans="1:11">
      <c r="A31" s="1" t="s">
        <v>29</v>
      </c>
      <c r="B31" s="2">
        <f>calculated!B35-measured!C34</f>
        <v>-1.000000000007617E-2</v>
      </c>
      <c r="C31" s="2">
        <f>calculated!C35-measured!D34</f>
        <v>0.15000000000000213</v>
      </c>
      <c r="D31" s="1">
        <v>12</v>
      </c>
      <c r="E31" s="1">
        <v>4</v>
      </c>
      <c r="G31" s="6">
        <f>Tabelle134[[#This Row],[x]]^2</f>
        <v>1.000000000015234E-4</v>
      </c>
      <c r="J31" s="6">
        <f>(Tabelle134[[#This Row],[y]])^2</f>
        <v>2.2500000000000641E-2</v>
      </c>
    </row>
    <row r="32" spans="1:11">
      <c r="A32" s="1" t="s">
        <v>30</v>
      </c>
      <c r="B32" s="2">
        <f>calculated!B36-measured!C35</f>
        <v>-0.12000000000006139</v>
      </c>
      <c r="C32" s="2">
        <f>calculated!C36-measured!D35</f>
        <v>0.15000000000000213</v>
      </c>
      <c r="D32" s="1">
        <v>13</v>
      </c>
      <c r="E32" s="1">
        <v>4</v>
      </c>
      <c r="G32" s="6">
        <f>Tabelle134[[#This Row],[x]]^2</f>
        <v>1.4400000000014734E-2</v>
      </c>
      <c r="J32" s="6">
        <f>(Tabelle134[[#This Row],[y]])^2</f>
        <v>2.2500000000000641E-2</v>
      </c>
    </row>
    <row r="33" spans="1:11">
      <c r="A33" s="1" t="s">
        <v>31</v>
      </c>
      <c r="B33" s="2">
        <f>calculated!B37-measured!C36</f>
        <v>0.16999999999990223</v>
      </c>
      <c r="C33" s="2">
        <f>calculated!C37-measured!D36</f>
        <v>-0.25000000000000355</v>
      </c>
      <c r="D33" s="1">
        <v>14</v>
      </c>
      <c r="E33" s="1">
        <v>4</v>
      </c>
      <c r="G33" s="6">
        <f>Tabelle134[[#This Row],[x]]^2</f>
        <v>2.8899999999966758E-2</v>
      </c>
      <c r="J33" s="6">
        <f>(Tabelle134[[#This Row],[y]])^2</f>
        <v>6.2500000000001776E-2</v>
      </c>
    </row>
    <row r="34" spans="1:11">
      <c r="A34" s="1" t="s">
        <v>32</v>
      </c>
      <c r="B34" s="2">
        <f>calculated!B38-measured!C37</f>
        <v>0.10999999999989996</v>
      </c>
      <c r="C34" s="2">
        <f>calculated!C38-measured!D37</f>
        <v>5.0000000000000711E-2</v>
      </c>
      <c r="D34" s="1">
        <v>15</v>
      </c>
      <c r="E34" s="1">
        <v>4</v>
      </c>
      <c r="G34" s="6">
        <f>Tabelle134[[#This Row],[x]]^2</f>
        <v>1.2099999999977989E-2</v>
      </c>
      <c r="J34" s="6">
        <f>(Tabelle134[[#This Row],[y]])^2</f>
        <v>2.5000000000000712E-3</v>
      </c>
    </row>
    <row r="35" spans="1:11">
      <c r="A35" s="1" t="s">
        <v>37</v>
      </c>
      <c r="B35" s="2">
        <f>calculated!B39-measured!C38</f>
        <v>-2.5000000000034106E-2</v>
      </c>
      <c r="C35" s="2">
        <f>calculated!C39-measured!D38</f>
        <v>0.22500000000000142</v>
      </c>
      <c r="D35" s="1">
        <v>16</v>
      </c>
      <c r="E35" s="1">
        <v>4</v>
      </c>
      <c r="G35" s="6">
        <f>Tabelle134[[#This Row],[x]]^2</f>
        <v>6.2500000000170535E-4</v>
      </c>
      <c r="J35" s="6">
        <f>(Tabelle134[[#This Row],[y]])^2</f>
        <v>5.0625000000000642E-2</v>
      </c>
    </row>
    <row r="36" spans="1:11">
      <c r="A36" s="1" t="s">
        <v>38</v>
      </c>
      <c r="B36" s="2">
        <f>calculated!B40-measured!C39</f>
        <v>-4.9999999999998934E-2</v>
      </c>
      <c r="C36" s="2">
        <f>calculated!C40-measured!D39</f>
        <v>4.9999999999997158E-2</v>
      </c>
      <c r="D36" s="1">
        <v>1</v>
      </c>
      <c r="E36" s="1">
        <v>3</v>
      </c>
      <c r="G36" s="6">
        <f>Tabelle134[[#This Row],[x]]^2</f>
        <v>2.4999999999998934E-3</v>
      </c>
      <c r="H36" s="6">
        <f>SUM(G36:G51)</f>
        <v>0.11567500000004671</v>
      </c>
      <c r="I36" s="15">
        <f>STDEVP(B36:B51)</f>
        <v>8.1172438941744335E-2</v>
      </c>
      <c r="J36" s="6">
        <f>(Tabelle134[[#This Row],[y]])^2</f>
        <v>2.499999999999716E-3</v>
      </c>
      <c r="K36" s="6">
        <f>SUM(J36:J51)</f>
        <v>0.16687500000000058</v>
      </c>
    </row>
    <row r="37" spans="1:11">
      <c r="A37" s="1" t="s">
        <v>39</v>
      </c>
      <c r="B37" s="2">
        <f>calculated!B41-measured!C40</f>
        <v>4.00000000000027E-2</v>
      </c>
      <c r="C37" s="2">
        <f>calculated!C41-measured!D40</f>
        <v>-0.14999999999999858</v>
      </c>
      <c r="D37" s="1">
        <v>2</v>
      </c>
      <c r="E37" s="1">
        <v>3</v>
      </c>
      <c r="G37" s="6">
        <f>Tabelle134[[#This Row],[x]]^2</f>
        <v>1.600000000000216E-3</v>
      </c>
      <c r="J37" s="6">
        <f>(Tabelle134[[#This Row],[y]])^2</f>
        <v>2.2499999999999572E-2</v>
      </c>
    </row>
    <row r="38" spans="1:11">
      <c r="A38" s="1" t="s">
        <v>40</v>
      </c>
      <c r="B38" s="2">
        <f>calculated!B42-measured!C41</f>
        <v>-2.0000000000003126E-2</v>
      </c>
      <c r="C38" s="2">
        <f>calculated!C42-measured!D41</f>
        <v>0.20000000000000284</v>
      </c>
      <c r="D38" s="1">
        <v>3</v>
      </c>
      <c r="E38" s="1">
        <v>3</v>
      </c>
      <c r="G38" s="6">
        <f>Tabelle134[[#This Row],[x]]^2</f>
        <v>4.0000000000012508E-4</v>
      </c>
      <c r="J38" s="6">
        <f>(Tabelle134[[#This Row],[y]])^2</f>
        <v>4.0000000000001139E-2</v>
      </c>
    </row>
    <row r="39" spans="1:11">
      <c r="A39" s="1" t="s">
        <v>54</v>
      </c>
      <c r="B39" s="2">
        <f>calculated!B43-measured!C42</f>
        <v>-3.0000000000001137E-2</v>
      </c>
      <c r="C39" s="2">
        <f>calculated!C43-measured!D42</f>
        <v>4.9999999999997158E-2</v>
      </c>
      <c r="D39" s="1">
        <v>4</v>
      </c>
      <c r="E39" s="1">
        <v>3</v>
      </c>
      <c r="G39" s="6">
        <f>Tabelle134[[#This Row],[x]]^2</f>
        <v>9.0000000000006817E-4</v>
      </c>
      <c r="J39" s="6">
        <f>(Tabelle134[[#This Row],[y]])^2</f>
        <v>2.499999999999716E-3</v>
      </c>
    </row>
    <row r="40" spans="1:11">
      <c r="A40" s="1" t="s">
        <v>41</v>
      </c>
      <c r="B40" s="2">
        <f>calculated!B44-measured!C43</f>
        <v>0.10999999999998522</v>
      </c>
      <c r="C40" s="2">
        <f>calculated!C44-measured!D43</f>
        <v>0.10000000000000142</v>
      </c>
      <c r="D40" s="1">
        <v>5</v>
      </c>
      <c r="E40" s="1">
        <v>3</v>
      </c>
      <c r="G40" s="6">
        <f>Tabelle134[[#This Row],[x]]^2</f>
        <v>1.2099999999996749E-2</v>
      </c>
      <c r="J40" s="6">
        <f>(Tabelle134[[#This Row],[y]])^2</f>
        <v>1.0000000000000285E-2</v>
      </c>
    </row>
    <row r="41" spans="1:11">
      <c r="A41" s="1" t="s">
        <v>42</v>
      </c>
      <c r="B41" s="2">
        <f>calculated!B45-measured!C44</f>
        <v>0.12499999999997158</v>
      </c>
      <c r="C41" s="2">
        <f>calculated!C45-measured!D44</f>
        <v>7.5000000000002842E-2</v>
      </c>
      <c r="D41" s="1">
        <v>6</v>
      </c>
      <c r="E41" s="1">
        <v>3</v>
      </c>
      <c r="G41" s="6">
        <f>Tabelle134[[#This Row],[x]]^2</f>
        <v>1.5624999999992895E-2</v>
      </c>
      <c r="J41" s="6">
        <f>(Tabelle134[[#This Row],[y]])^2</f>
        <v>5.6250000000004265E-3</v>
      </c>
    </row>
    <row r="42" spans="1:11">
      <c r="A42" s="1" t="s">
        <v>43</v>
      </c>
      <c r="B42" s="2">
        <f>calculated!B46-measured!C45</f>
        <v>3.999999999996362E-2</v>
      </c>
      <c r="C42" s="2">
        <f>calculated!C46-measured!D45</f>
        <v>4.9999999999997158E-2</v>
      </c>
      <c r="D42" s="1">
        <v>7</v>
      </c>
      <c r="E42" s="1">
        <v>3</v>
      </c>
      <c r="G42" s="6">
        <f>Tabelle134[[#This Row],[x]]^2</f>
        <v>1.5999999999970896E-3</v>
      </c>
      <c r="J42" s="6">
        <f>(Tabelle134[[#This Row],[y]])^2</f>
        <v>2.499999999999716E-3</v>
      </c>
    </row>
    <row r="43" spans="1:11">
      <c r="A43" s="1" t="s">
        <v>44</v>
      </c>
      <c r="B43" s="2">
        <f>calculated!B47-measured!C46</f>
        <v>-0.12000000000003297</v>
      </c>
      <c r="C43" s="2">
        <f>calculated!C47-measured!D46</f>
        <v>4.9999999999997158E-2</v>
      </c>
      <c r="D43" s="1">
        <v>8</v>
      </c>
      <c r="E43" s="1">
        <v>3</v>
      </c>
      <c r="G43" s="6">
        <f>Tabelle134[[#This Row],[x]]^2</f>
        <v>1.4400000000007913E-2</v>
      </c>
      <c r="J43" s="6">
        <f>(Tabelle134[[#This Row],[y]])^2</f>
        <v>2.499999999999716E-3</v>
      </c>
    </row>
    <row r="44" spans="1:11">
      <c r="A44" s="1" t="s">
        <v>45</v>
      </c>
      <c r="B44" s="2">
        <f>calculated!B48-measured!C47</f>
        <v>-0.18000000000003524</v>
      </c>
      <c r="C44" s="2">
        <f>calculated!C48-measured!D47</f>
        <v>0.10000000000000142</v>
      </c>
      <c r="D44" s="1">
        <v>9</v>
      </c>
      <c r="E44" s="1">
        <v>3</v>
      </c>
      <c r="G44" s="6">
        <f>Tabelle134[[#This Row],[x]]^2</f>
        <v>3.2400000000012689E-2</v>
      </c>
      <c r="J44" s="6">
        <f>(Tabelle134[[#This Row],[y]])^2</f>
        <v>1.0000000000000285E-2</v>
      </c>
    </row>
    <row r="45" spans="1:11">
      <c r="A45" s="1" t="s">
        <v>46</v>
      </c>
      <c r="B45" s="2">
        <f>calculated!B49-measured!C48</f>
        <v>9.9999999999340616E-3</v>
      </c>
      <c r="C45" s="2">
        <f>calculated!C49-measured!D48</f>
        <v>0.20000000000000284</v>
      </c>
      <c r="D45" s="1">
        <v>10</v>
      </c>
      <c r="E45" s="1">
        <v>3</v>
      </c>
      <c r="G45" s="6">
        <f>Tabelle134[[#This Row],[x]]^2</f>
        <v>9.9999999998681235E-5</v>
      </c>
      <c r="J45" s="6">
        <f>(Tabelle134[[#This Row],[y]])^2</f>
        <v>4.0000000000001139E-2</v>
      </c>
    </row>
    <row r="46" spans="1:11">
      <c r="A46" s="1" t="s">
        <v>47</v>
      </c>
      <c r="B46" s="2">
        <f>calculated!B50-measured!C49</f>
        <v>-0.12500000000005684</v>
      </c>
      <c r="C46" s="2">
        <f>calculated!C50-measured!D49</f>
        <v>-2.4999999999998579E-2</v>
      </c>
      <c r="D46" s="1">
        <v>11</v>
      </c>
      <c r="E46" s="1">
        <v>3</v>
      </c>
      <c r="G46" s="6">
        <f>Tabelle134[[#This Row],[x]]^2</f>
        <v>1.5625000000014211E-2</v>
      </c>
      <c r="J46" s="6">
        <f>(Tabelle134[[#This Row],[y]])^2</f>
        <v>6.24999999999929E-4</v>
      </c>
    </row>
    <row r="47" spans="1:11">
      <c r="A47" s="1" t="s">
        <v>48</v>
      </c>
      <c r="B47" s="2">
        <f>calculated!B51-measured!C50</f>
        <v>-6.0000000000059117E-2</v>
      </c>
      <c r="C47" s="2">
        <f>calculated!C51-measured!D50</f>
        <v>0</v>
      </c>
      <c r="D47" s="1">
        <v>12</v>
      </c>
      <c r="E47" s="1">
        <v>3</v>
      </c>
      <c r="G47" s="6">
        <f>Tabelle134[[#This Row],[x]]^2</f>
        <v>3.6000000000070941E-3</v>
      </c>
      <c r="J47" s="6">
        <f>(Tabelle134[[#This Row],[y]])^2</f>
        <v>0</v>
      </c>
    </row>
    <row r="48" spans="1:11">
      <c r="A48" s="1" t="s">
        <v>49</v>
      </c>
      <c r="B48" s="2">
        <f>calculated!B52-measured!C51</f>
        <v>-2.0000000000095497E-2</v>
      </c>
      <c r="C48" s="2">
        <f>calculated!C52-measured!D51</f>
        <v>-0.14999999999999858</v>
      </c>
      <c r="D48" s="1">
        <v>13</v>
      </c>
      <c r="E48" s="1">
        <v>3</v>
      </c>
      <c r="G48" s="6">
        <f>Tabelle134[[#This Row],[x]]^2</f>
        <v>4.0000000000381988E-4</v>
      </c>
      <c r="J48" s="6">
        <f>(Tabelle134[[#This Row],[y]])^2</f>
        <v>2.2499999999999572E-2</v>
      </c>
    </row>
    <row r="49" spans="1:11">
      <c r="A49" s="1" t="s">
        <v>50</v>
      </c>
      <c r="B49" s="2">
        <f>calculated!B53-measured!C52</f>
        <v>-5.0000000000522959E-3</v>
      </c>
      <c r="C49" s="2">
        <f>calculated!C53-measured!D52</f>
        <v>2.4999999999998579E-2</v>
      </c>
      <c r="D49" s="1">
        <v>14</v>
      </c>
      <c r="E49" s="1">
        <v>3</v>
      </c>
      <c r="G49" s="6">
        <f>Tabelle134[[#This Row],[x]]^2</f>
        <v>2.5000000000522959E-5</v>
      </c>
      <c r="J49" s="6">
        <f>(Tabelle134[[#This Row],[y]])^2</f>
        <v>6.24999999999929E-4</v>
      </c>
    </row>
    <row r="50" spans="1:11">
      <c r="A50" s="1" t="s">
        <v>51</v>
      </c>
      <c r="B50" s="2">
        <f>calculated!B54-measured!C53</f>
        <v>-0.12000000000006139</v>
      </c>
      <c r="C50" s="2">
        <f>calculated!C54-measured!D53</f>
        <v>4.9999999999997158E-2</v>
      </c>
      <c r="D50" s="1">
        <v>15</v>
      </c>
      <c r="E50" s="1">
        <v>3</v>
      </c>
      <c r="G50" s="6">
        <f>Tabelle134[[#This Row],[x]]^2</f>
        <v>1.4400000000014734E-2</v>
      </c>
      <c r="J50" s="6">
        <f>(Tabelle134[[#This Row],[y]])^2</f>
        <v>2.499999999999716E-3</v>
      </c>
    </row>
    <row r="51" spans="1:11">
      <c r="A51" s="1" t="s">
        <v>52</v>
      </c>
      <c r="B51" s="2">
        <f>calculated!B55-measured!C54</f>
        <v>0</v>
      </c>
      <c r="C51" s="2">
        <f>calculated!C55-measured!D54</f>
        <v>4.9999999999997158E-2</v>
      </c>
      <c r="D51" s="1">
        <v>16</v>
      </c>
      <c r="E51" s="1">
        <v>3</v>
      </c>
      <c r="G51" s="6">
        <f>Tabelle134[[#This Row],[x]]^2</f>
        <v>0</v>
      </c>
      <c r="J51" s="6">
        <f>(Tabelle134[[#This Row],[y]])^2</f>
        <v>2.499999999999716E-3</v>
      </c>
    </row>
    <row r="52" spans="1:11">
      <c r="A52" s="1" t="s">
        <v>56</v>
      </c>
      <c r="B52" s="2">
        <f>calculated!B56-measured!C55</f>
        <v>-0.10000000000000142</v>
      </c>
      <c r="C52" s="2">
        <f>calculated!C56-measured!D55</f>
        <v>-0.14999999999999147</v>
      </c>
      <c r="D52" s="1">
        <v>1</v>
      </c>
      <c r="E52" s="1">
        <v>2</v>
      </c>
      <c r="G52" s="6">
        <f>Tabelle134[[#This Row],[x]]^2</f>
        <v>1.0000000000000285E-2</v>
      </c>
      <c r="H52" s="6">
        <f>SUM(G52:G67)</f>
        <v>0.13897500000005275</v>
      </c>
      <c r="I52" s="15">
        <f>STDEVP(B52:B67)</f>
        <v>9.1480338563826605E-2</v>
      </c>
      <c r="J52" s="6">
        <f>(Tabelle134[[#This Row],[y]])^2</f>
        <v>2.2499999999997442E-2</v>
      </c>
      <c r="K52" s="6">
        <f>SUM(J52:J67)</f>
        <v>0.15687500000000029</v>
      </c>
    </row>
    <row r="53" spans="1:11">
      <c r="A53" s="1" t="s">
        <v>67</v>
      </c>
      <c r="B53" s="2">
        <f>calculated!B57-measured!C56</f>
        <v>0.18500000000000227</v>
      </c>
      <c r="C53" s="2">
        <f>calculated!C57-measured!D56</f>
        <v>-7.4999999999988631E-2</v>
      </c>
      <c r="D53" s="1">
        <v>2</v>
      </c>
      <c r="E53" s="1">
        <v>2</v>
      </c>
      <c r="G53" s="6">
        <f>Tabelle134[[#This Row],[x]]^2</f>
        <v>3.4225000000000838E-2</v>
      </c>
      <c r="J53" s="6">
        <f>(Tabelle134[[#This Row],[y]])^2</f>
        <v>5.6249999999982946E-3</v>
      </c>
    </row>
    <row r="54" spans="1:11">
      <c r="A54" s="1" t="s">
        <v>58</v>
      </c>
      <c r="B54" s="2">
        <f>calculated!B58-measured!C57</f>
        <v>4.9999999999997158E-2</v>
      </c>
      <c r="C54" s="2">
        <f>calculated!C58-measured!D57</f>
        <v>5.0000000000011369E-2</v>
      </c>
      <c r="D54" s="1">
        <v>3</v>
      </c>
      <c r="E54" s="1">
        <v>2</v>
      </c>
      <c r="G54" s="6">
        <f>Tabelle134[[#This Row],[x]]^2</f>
        <v>2.499999999999716E-3</v>
      </c>
      <c r="J54" s="6">
        <f>(Tabelle134[[#This Row],[y]])^2</f>
        <v>2.5000000000011367E-3</v>
      </c>
    </row>
    <row r="55" spans="1:11">
      <c r="A55" s="1" t="s">
        <v>57</v>
      </c>
      <c r="B55" s="2">
        <f>calculated!B59-measured!C58</f>
        <v>-9.9999999999909051E-3</v>
      </c>
      <c r="C55" s="2">
        <f>calculated!C59-measured!D58</f>
        <v>-9.9999999999994316E-2</v>
      </c>
      <c r="D55" s="1">
        <v>4</v>
      </c>
      <c r="E55" s="1">
        <v>2</v>
      </c>
      <c r="G55" s="6">
        <f>Tabelle134[[#This Row],[x]]^2</f>
        <v>9.9999999999818103E-5</v>
      </c>
      <c r="J55" s="6">
        <f>(Tabelle134[[#This Row],[y]])^2</f>
        <v>9.999999999998864E-3</v>
      </c>
    </row>
    <row r="56" spans="1:11">
      <c r="A56" s="1" t="s">
        <v>59</v>
      </c>
      <c r="B56" s="2">
        <f>calculated!B60-measured!C59</f>
        <v>0.12999999999999545</v>
      </c>
      <c r="C56" s="2">
        <f>calculated!C60-measured!D59</f>
        <v>-4.9999999999982947E-2</v>
      </c>
      <c r="D56" s="1">
        <v>5</v>
      </c>
      <c r="E56" s="1">
        <v>2</v>
      </c>
      <c r="G56" s="6">
        <f>Tabelle134[[#This Row],[x]]^2</f>
        <v>1.6899999999998819E-2</v>
      </c>
      <c r="J56" s="6">
        <f>(Tabelle134[[#This Row],[y]])^2</f>
        <v>2.4999999999982948E-3</v>
      </c>
    </row>
    <row r="57" spans="1:11">
      <c r="A57" s="1" t="s">
        <v>60</v>
      </c>
      <c r="B57" s="2">
        <f>calculated!B61-measured!C60</f>
        <v>6.9999999999978968E-2</v>
      </c>
      <c r="C57" s="2">
        <f>calculated!C61-measured!D60</f>
        <v>9.9999999999994316E-2</v>
      </c>
      <c r="D57" s="1">
        <v>6</v>
      </c>
      <c r="E57" s="1">
        <v>2</v>
      </c>
      <c r="G57" s="6">
        <f>Tabelle134[[#This Row],[x]]^2</f>
        <v>4.8999999999970551E-3</v>
      </c>
      <c r="J57" s="6">
        <f>(Tabelle134[[#This Row],[y]])^2</f>
        <v>9.999999999998864E-3</v>
      </c>
    </row>
    <row r="58" spans="1:11">
      <c r="A58" s="1" t="s">
        <v>61</v>
      </c>
      <c r="B58" s="2">
        <f>calculated!B62-measured!C61</f>
        <v>-4.0000000000020464E-2</v>
      </c>
      <c r="C58" s="2">
        <f>calculated!C62-measured!D61</f>
        <v>-4.9999999999997158E-2</v>
      </c>
      <c r="D58" s="1">
        <v>7</v>
      </c>
      <c r="E58" s="1">
        <v>2</v>
      </c>
      <c r="G58" s="6">
        <f>Tabelle134[[#This Row],[x]]^2</f>
        <v>1.600000000001637E-3</v>
      </c>
      <c r="J58" s="6">
        <f>(Tabelle134[[#This Row],[y]])^2</f>
        <v>2.499999999999716E-3</v>
      </c>
    </row>
    <row r="59" spans="1:11">
      <c r="A59" s="1" t="s">
        <v>62</v>
      </c>
      <c r="B59" s="2">
        <f>calculated!B63-measured!C62</f>
        <v>2.4999999999977263E-2</v>
      </c>
      <c r="C59" s="2">
        <f>calculated!C63-measured!D62</f>
        <v>2.5000000000005684E-2</v>
      </c>
      <c r="D59" s="1">
        <v>8</v>
      </c>
      <c r="E59" s="1">
        <v>2</v>
      </c>
      <c r="G59" s="6">
        <f>Tabelle134[[#This Row],[x]]^2</f>
        <v>6.2499999999886312E-4</v>
      </c>
      <c r="J59" s="6">
        <f>(Tabelle134[[#This Row],[y]])^2</f>
        <v>6.2500000000028418E-4</v>
      </c>
    </row>
    <row r="60" spans="1:11">
      <c r="A60" s="1" t="s">
        <v>63</v>
      </c>
      <c r="B60" s="2">
        <f>calculated!B64-measured!C63</f>
        <v>-6.0000000000059117E-2</v>
      </c>
      <c r="C60" s="2">
        <f>calculated!C64-measured!D63</f>
        <v>9.9999999999994316E-2</v>
      </c>
      <c r="D60" s="1">
        <v>9</v>
      </c>
      <c r="E60" s="1">
        <v>2</v>
      </c>
      <c r="G60" s="6">
        <f>Tabelle134[[#This Row],[x]]^2</f>
        <v>3.6000000000070941E-3</v>
      </c>
      <c r="J60" s="6">
        <f>(Tabelle134[[#This Row],[y]])^2</f>
        <v>9.999999999998864E-3</v>
      </c>
    </row>
    <row r="61" spans="1:11">
      <c r="A61" s="1" t="s">
        <v>64</v>
      </c>
      <c r="B61" s="2">
        <f>calculated!B65-measured!C64</f>
        <v>-0.12000000000006139</v>
      </c>
      <c r="C61" s="2">
        <f>calculated!C65-measured!D64</f>
        <v>0</v>
      </c>
      <c r="D61" s="1">
        <v>10</v>
      </c>
      <c r="E61" s="1">
        <v>2</v>
      </c>
      <c r="G61" s="6">
        <f>Tabelle134[[#This Row],[x]]^2</f>
        <v>1.4400000000014734E-2</v>
      </c>
      <c r="J61" s="6">
        <f>(Tabelle134[[#This Row],[y]])^2</f>
        <v>0</v>
      </c>
    </row>
    <row r="62" spans="1:11">
      <c r="A62" s="1" t="s">
        <v>65</v>
      </c>
      <c r="B62" s="2">
        <f>calculated!B66-measured!C65</f>
        <v>-8.0000000000040927E-2</v>
      </c>
      <c r="C62" s="2">
        <f>calculated!C66-measured!D65</f>
        <v>0.20000000000001705</v>
      </c>
      <c r="D62" s="1">
        <v>11</v>
      </c>
      <c r="E62" s="1">
        <v>2</v>
      </c>
      <c r="G62" s="6">
        <f>Tabelle134[[#This Row],[x]]^2</f>
        <v>6.400000000006548E-3</v>
      </c>
      <c r="J62" s="6">
        <f>(Tabelle134[[#This Row],[y]])^2</f>
        <v>4.0000000000006822E-2</v>
      </c>
    </row>
    <row r="63" spans="1:11">
      <c r="A63" s="1" t="s">
        <v>66</v>
      </c>
      <c r="B63" s="2">
        <f>calculated!B67-measured!C66</f>
        <v>9.9999999999340616E-3</v>
      </c>
      <c r="C63" s="2">
        <f>calculated!C67-measured!D66</f>
        <v>0.10000000000000853</v>
      </c>
      <c r="D63" s="1">
        <v>12</v>
      </c>
      <c r="E63" s="1">
        <v>2</v>
      </c>
      <c r="G63" s="6">
        <f>Tabelle134[[#This Row],[x]]^2</f>
        <v>9.9999999998681235E-5</v>
      </c>
      <c r="J63" s="6">
        <f>(Tabelle134[[#This Row],[y]])^2</f>
        <v>1.0000000000001705E-2</v>
      </c>
    </row>
    <row r="64" spans="1:11">
      <c r="A64" s="1" t="s">
        <v>68</v>
      </c>
      <c r="B64" s="2">
        <f>calculated!B68-measured!C67</f>
        <v>-0.13000000000010914</v>
      </c>
      <c r="C64" s="2">
        <f>calculated!C68-measured!D67</f>
        <v>-4.9999999999982947E-2</v>
      </c>
      <c r="D64" s="1">
        <v>13</v>
      </c>
      <c r="E64" s="1">
        <v>2</v>
      </c>
      <c r="G64" s="6">
        <f>Tabelle134[[#This Row],[x]]^2</f>
        <v>1.6900000000028375E-2</v>
      </c>
      <c r="J64" s="6">
        <f>(Tabelle134[[#This Row],[y]])^2</f>
        <v>2.4999999999982948E-3</v>
      </c>
    </row>
    <row r="65" spans="1:10">
      <c r="A65" s="1" t="s">
        <v>69</v>
      </c>
      <c r="B65" s="2">
        <f>calculated!B69-measured!C68</f>
        <v>-6.500000000005457E-2</v>
      </c>
      <c r="C65" s="2">
        <f>calculated!C69-measured!D68</f>
        <v>0.125</v>
      </c>
      <c r="D65" s="1">
        <v>14</v>
      </c>
      <c r="E65" s="1">
        <v>2</v>
      </c>
      <c r="G65" s="6">
        <f>Tabelle134[[#This Row],[x]]^2</f>
        <v>4.2250000000070937E-3</v>
      </c>
      <c r="J65" s="6">
        <f>(Tabelle134[[#This Row],[y]])^2</f>
        <v>1.5625E-2</v>
      </c>
    </row>
    <row r="66" spans="1:10">
      <c r="A66" s="1" t="s">
        <v>70</v>
      </c>
      <c r="B66" s="2">
        <f>calculated!B70-measured!C69</f>
        <v>-0.14999999999997726</v>
      </c>
      <c r="C66" s="2">
        <f>calculated!C70-measured!D69</f>
        <v>0</v>
      </c>
      <c r="D66" s="1">
        <v>15</v>
      </c>
      <c r="E66" s="1">
        <v>2</v>
      </c>
      <c r="G66" s="6">
        <f>Tabelle134[[#This Row],[x]]^2</f>
        <v>2.2499999999993178E-2</v>
      </c>
      <c r="J66" s="6">
        <f>(Tabelle134[[#This Row],[y]])^2</f>
        <v>0</v>
      </c>
    </row>
    <row r="67" spans="1:10">
      <c r="A67" s="1" t="s">
        <v>71</v>
      </c>
      <c r="B67" s="2">
        <f>calculated!B71-measured!C70</f>
        <v>0</v>
      </c>
      <c r="C67" s="2">
        <f>calculated!C71-measured!D70</f>
        <v>0.15000000000000568</v>
      </c>
      <c r="D67" s="1">
        <v>16</v>
      </c>
      <c r="E67" s="1">
        <v>2</v>
      </c>
      <c r="G67" s="6">
        <f>Tabelle134[[#This Row],[x]]^2</f>
        <v>0</v>
      </c>
      <c r="J67" s="6">
        <f>(Tabelle134[[#This Row],[y]])^2</f>
        <v>2.2500000000001706E-2</v>
      </c>
    </row>
    <row r="68" spans="1:10">
      <c r="A68" s="1" t="s">
        <v>76</v>
      </c>
      <c r="B68" s="2">
        <f>calculated!B72-measured!C71</f>
        <v>0</v>
      </c>
      <c r="C68" s="2">
        <f>calculated!C72-measured!D71</f>
        <v>-2.5000000000005684E-2</v>
      </c>
      <c r="D68" s="1">
        <v>1</v>
      </c>
      <c r="E68" s="1">
        <v>1</v>
      </c>
      <c r="G68" s="6">
        <f>Tabelle134[[#This Row],[x]]^2</f>
        <v>0</v>
      </c>
    </row>
  </sheetData>
  <conditionalFormatting sqref="B3:C68">
    <cfRule type="cellIs" dxfId="1" priority="1" operator="notBetween">
      <formula>-0.2</formula>
      <formula>0.2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653E-566F-4578-99D2-B6E718E54A4D}">
  <dimension ref="A2:H73"/>
  <sheetViews>
    <sheetView workbookViewId="0">
      <selection activeCell="J6" sqref="J6"/>
    </sheetView>
  </sheetViews>
  <sheetFormatPr baseColWidth="10" defaultRowHeight="13.8"/>
  <cols>
    <col min="4" max="4" width="5.3984375" customWidth="1"/>
    <col min="5" max="5" width="4.8984375" customWidth="1"/>
    <col min="6" max="6" width="8.296875" customWidth="1"/>
    <col min="7" max="7" width="6" customWidth="1"/>
    <col min="8" max="8" width="5.796875" customWidth="1"/>
  </cols>
  <sheetData>
    <row r="2" spans="1:8">
      <c r="A2" t="s">
        <v>4</v>
      </c>
      <c r="B2" s="1">
        <v>97.2</v>
      </c>
      <c r="C2" t="s">
        <v>196</v>
      </c>
    </row>
    <row r="3" spans="1:8">
      <c r="A3" t="s">
        <v>103</v>
      </c>
      <c r="B3" s="1">
        <v>96.4</v>
      </c>
      <c r="C3" t="s">
        <v>196</v>
      </c>
    </row>
    <row r="4" spans="1:8" ht="16.2">
      <c r="A4" t="s">
        <v>104</v>
      </c>
      <c r="B4" s="1">
        <f>(B2-B3)/2</f>
        <v>0.39999999999999858</v>
      </c>
      <c r="C4" t="s">
        <v>196</v>
      </c>
    </row>
    <row r="5" spans="1:8">
      <c r="A5" t="s">
        <v>5</v>
      </c>
      <c r="B5" s="1">
        <f>269.65+125.25-9.3</f>
        <v>385.59999999999997</v>
      </c>
      <c r="C5" t="s">
        <v>196</v>
      </c>
    </row>
    <row r="7" spans="1:8">
      <c r="A7" t="s">
        <v>0</v>
      </c>
      <c r="B7" s="1" t="s">
        <v>2</v>
      </c>
      <c r="C7" s="1" t="s">
        <v>3</v>
      </c>
      <c r="D7" s="1" t="s">
        <v>6</v>
      </c>
      <c r="E7" s="1" t="s">
        <v>7</v>
      </c>
      <c r="F7" s="1" t="s">
        <v>105</v>
      </c>
      <c r="G7" s="1" t="s">
        <v>172</v>
      </c>
      <c r="H7" s="1" t="s">
        <v>173</v>
      </c>
    </row>
    <row r="8" spans="1:8">
      <c r="A8" s="1" t="s">
        <v>8</v>
      </c>
      <c r="B8" s="2">
        <f>calculated!B7</f>
        <v>17.600000000000001</v>
      </c>
      <c r="C8" s="2">
        <f>$B$2-calculated!C7-$B$4</f>
        <v>86.050000000000011</v>
      </c>
      <c r="D8" s="1">
        <v>1</v>
      </c>
      <c r="E8" s="1">
        <v>5</v>
      </c>
      <c r="F8" s="1" t="s">
        <v>106</v>
      </c>
      <c r="G8" s="1">
        <v>1</v>
      </c>
      <c r="H8" s="1">
        <v>7</v>
      </c>
    </row>
    <row r="9" spans="1:8">
      <c r="A9" s="1">
        <v>1</v>
      </c>
      <c r="B9" s="2">
        <f>calculated!B8</f>
        <v>36.64</v>
      </c>
      <c r="C9" s="2">
        <f>$B$2-calculated!C8-$B$4</f>
        <v>86.050000000000011</v>
      </c>
      <c r="D9" s="1">
        <v>2</v>
      </c>
      <c r="E9" s="1">
        <v>5</v>
      </c>
      <c r="F9" s="1" t="s">
        <v>107</v>
      </c>
      <c r="G9" s="1">
        <v>0</v>
      </c>
      <c r="H9" s="1">
        <v>7</v>
      </c>
    </row>
    <row r="10" spans="1:8">
      <c r="A10" s="1">
        <v>2</v>
      </c>
      <c r="B10" s="2">
        <f>calculated!B9</f>
        <v>55.68</v>
      </c>
      <c r="C10" s="2">
        <f>$B$2-calculated!C9-$B$4</f>
        <v>86.050000000000011</v>
      </c>
      <c r="D10" s="1">
        <v>3</v>
      </c>
      <c r="E10" s="1">
        <v>5</v>
      </c>
      <c r="F10" s="1" t="s">
        <v>108</v>
      </c>
      <c r="G10" s="1">
        <v>3</v>
      </c>
      <c r="H10" s="1">
        <v>7</v>
      </c>
    </row>
    <row r="11" spans="1:8">
      <c r="A11" s="1">
        <v>3</v>
      </c>
      <c r="B11" s="2">
        <f>calculated!B10</f>
        <v>74.72</v>
      </c>
      <c r="C11" s="2">
        <f>$B$2-calculated!C10-$B$4</f>
        <v>86.050000000000011</v>
      </c>
      <c r="D11" s="1">
        <v>4</v>
      </c>
      <c r="E11" s="1">
        <v>5</v>
      </c>
      <c r="F11" s="1" t="s">
        <v>109</v>
      </c>
      <c r="G11" s="1">
        <v>0</v>
      </c>
      <c r="H11" s="1">
        <v>1</v>
      </c>
    </row>
    <row r="12" spans="1:8">
      <c r="A12" s="1">
        <v>4</v>
      </c>
      <c r="B12" s="2">
        <f>calculated!B11</f>
        <v>93.759999999999991</v>
      </c>
      <c r="C12" s="2">
        <f>$B$2-calculated!C11-$B$4</f>
        <v>86.050000000000011</v>
      </c>
      <c r="D12" s="1">
        <v>5</v>
      </c>
      <c r="E12" s="1">
        <v>5</v>
      </c>
      <c r="F12" s="1" t="s">
        <v>110</v>
      </c>
      <c r="G12" s="1">
        <v>3</v>
      </c>
      <c r="H12" s="1">
        <v>1</v>
      </c>
    </row>
    <row r="13" spans="1:8">
      <c r="A13" s="1">
        <v>5</v>
      </c>
      <c r="B13" s="2">
        <f>calculated!B12</f>
        <v>112.79999999999998</v>
      </c>
      <c r="C13" s="2">
        <f>$B$2-calculated!C12-$B$4</f>
        <v>86.050000000000011</v>
      </c>
      <c r="D13" s="1">
        <v>6</v>
      </c>
      <c r="E13" s="1">
        <v>5</v>
      </c>
      <c r="F13" s="1" t="s">
        <v>111</v>
      </c>
      <c r="G13" s="1">
        <v>0</v>
      </c>
      <c r="H13" s="1">
        <v>2</v>
      </c>
    </row>
    <row r="14" spans="1:8">
      <c r="A14" s="1">
        <v>6</v>
      </c>
      <c r="B14" s="2">
        <f>calculated!B13</f>
        <v>131.83999999999997</v>
      </c>
      <c r="C14" s="2">
        <f>$B$2-calculated!C13-$B$4</f>
        <v>86.050000000000011</v>
      </c>
      <c r="D14" s="1">
        <v>7</v>
      </c>
      <c r="E14" s="1">
        <v>5</v>
      </c>
      <c r="F14" s="1" t="s">
        <v>112</v>
      </c>
      <c r="G14" s="1">
        <v>3</v>
      </c>
      <c r="H14" s="1">
        <v>2</v>
      </c>
    </row>
    <row r="15" spans="1:8">
      <c r="A15" s="1">
        <v>7</v>
      </c>
      <c r="B15" s="2">
        <f>calculated!B14</f>
        <v>150.87999999999997</v>
      </c>
      <c r="C15" s="2">
        <f>$B$2-calculated!C14-$B$4</f>
        <v>86.050000000000011</v>
      </c>
      <c r="D15" s="1">
        <v>8</v>
      </c>
      <c r="E15" s="1">
        <v>5</v>
      </c>
      <c r="F15" s="1" t="s">
        <v>113</v>
      </c>
      <c r="G15" s="1">
        <v>0</v>
      </c>
      <c r="H15" s="1">
        <v>3</v>
      </c>
    </row>
    <row r="16" spans="1:8">
      <c r="A16" s="1">
        <v>8</v>
      </c>
      <c r="B16" s="2">
        <f>calculated!B15</f>
        <v>169.91999999999996</v>
      </c>
      <c r="C16" s="2">
        <f>$B$2-calculated!C15-$B$4</f>
        <v>86.050000000000011</v>
      </c>
      <c r="D16" s="1">
        <v>9</v>
      </c>
      <c r="E16" s="1">
        <v>5</v>
      </c>
      <c r="F16" s="1" t="s">
        <v>114</v>
      </c>
      <c r="G16" s="1">
        <v>3</v>
      </c>
      <c r="H16" s="1">
        <v>3</v>
      </c>
    </row>
    <row r="17" spans="1:8">
      <c r="A17" s="1">
        <v>9</v>
      </c>
      <c r="B17" s="2">
        <f>calculated!B16</f>
        <v>188.95999999999995</v>
      </c>
      <c r="C17" s="2">
        <f>$B$2-calculated!C16-$B$4</f>
        <v>86.050000000000011</v>
      </c>
      <c r="D17" s="1">
        <v>10</v>
      </c>
      <c r="E17" s="1">
        <v>5</v>
      </c>
      <c r="F17" s="1" t="s">
        <v>115</v>
      </c>
      <c r="G17" s="1">
        <v>0</v>
      </c>
      <c r="H17" s="1">
        <v>4</v>
      </c>
    </row>
    <row r="18" spans="1:8">
      <c r="A18" s="1">
        <v>0</v>
      </c>
      <c r="B18" s="2">
        <f>calculated!B17</f>
        <v>207.99999999999994</v>
      </c>
      <c r="C18" s="2">
        <f>$B$2-calculated!C17-$B$4</f>
        <v>86.050000000000011</v>
      </c>
      <c r="D18" s="1">
        <v>11</v>
      </c>
      <c r="E18" s="1">
        <v>5</v>
      </c>
      <c r="F18" s="1" t="s">
        <v>116</v>
      </c>
      <c r="G18" s="1">
        <v>3</v>
      </c>
      <c r="H18" s="1">
        <v>4</v>
      </c>
    </row>
    <row r="19" spans="1:8">
      <c r="A19" s="1" t="s">
        <v>10</v>
      </c>
      <c r="B19" s="2">
        <f>calculated!B18</f>
        <v>227.03999999999994</v>
      </c>
      <c r="C19" s="2">
        <f>$B$2-calculated!C18-$B$4</f>
        <v>86.050000000000011</v>
      </c>
      <c r="D19" s="1">
        <v>12</v>
      </c>
      <c r="E19" s="1">
        <v>5</v>
      </c>
      <c r="F19" s="1" t="s">
        <v>117</v>
      </c>
      <c r="G19" s="1">
        <v>0</v>
      </c>
      <c r="H19" s="1">
        <v>5</v>
      </c>
    </row>
    <row r="20" spans="1:8">
      <c r="A20" s="1" t="s">
        <v>11</v>
      </c>
      <c r="B20" s="2">
        <f>calculated!B19</f>
        <v>246.07999999999993</v>
      </c>
      <c r="C20" s="2">
        <f>$B$2-calculated!C19-$B$4</f>
        <v>86.050000000000011</v>
      </c>
      <c r="D20" s="1">
        <v>13</v>
      </c>
      <c r="E20" s="1">
        <v>5</v>
      </c>
      <c r="F20" s="1" t="s">
        <v>118</v>
      </c>
      <c r="G20" s="1">
        <v>3</v>
      </c>
      <c r="H20" s="1">
        <v>5</v>
      </c>
    </row>
    <row r="21" spans="1:8">
      <c r="A21" s="1" t="s">
        <v>12</v>
      </c>
      <c r="B21" s="2">
        <f>calculated!B20</f>
        <v>265.11999999999995</v>
      </c>
      <c r="C21" s="2">
        <f>$B$2-calculated!C20-$B$4</f>
        <v>86.050000000000011</v>
      </c>
      <c r="D21" s="1">
        <v>14</v>
      </c>
      <c r="E21" s="1">
        <v>5</v>
      </c>
      <c r="F21" s="1" t="s">
        <v>119</v>
      </c>
      <c r="G21" s="1">
        <v>0</v>
      </c>
      <c r="H21" s="1">
        <v>6</v>
      </c>
    </row>
    <row r="22" spans="1:8">
      <c r="A22" s="1" t="s">
        <v>13</v>
      </c>
      <c r="B22" s="2">
        <f>calculated!B21</f>
        <v>284.15999999999997</v>
      </c>
      <c r="C22" s="2">
        <f>$B$2-calculated!C21-$B$4</f>
        <v>86.050000000000011</v>
      </c>
      <c r="D22" s="1">
        <v>15</v>
      </c>
      <c r="E22" s="1">
        <v>5</v>
      </c>
      <c r="F22" s="1" t="s">
        <v>120</v>
      </c>
      <c r="G22" s="1">
        <v>3</v>
      </c>
      <c r="H22" s="1">
        <v>6</v>
      </c>
    </row>
    <row r="23" spans="1:8">
      <c r="A23" s="1" t="s">
        <v>14</v>
      </c>
      <c r="B23" s="2">
        <f>calculated!B22</f>
        <v>303.2</v>
      </c>
      <c r="C23" s="2">
        <f>$B$2-calculated!C22-$B$4</f>
        <v>86.050000000000011</v>
      </c>
      <c r="D23" s="1">
        <v>16</v>
      </c>
      <c r="E23" s="1">
        <v>5</v>
      </c>
      <c r="F23" s="1" t="s">
        <v>121</v>
      </c>
      <c r="G23" s="1">
        <v>0</v>
      </c>
      <c r="H23" s="1">
        <v>0</v>
      </c>
    </row>
    <row r="24" spans="1:8">
      <c r="A24" s="1" t="s">
        <v>15</v>
      </c>
      <c r="B24" s="11">
        <f>calculated!B23</f>
        <v>353.84999999999997</v>
      </c>
      <c r="C24" s="2">
        <f>$B$2-calculated!C23-$B$4</f>
        <v>86.050000000000011</v>
      </c>
      <c r="D24" s="1">
        <v>17</v>
      </c>
      <c r="E24" s="1">
        <v>5</v>
      </c>
      <c r="F24" s="1" t="s">
        <v>122</v>
      </c>
      <c r="G24" s="1">
        <v>4</v>
      </c>
      <c r="H24" s="1">
        <v>0</v>
      </c>
    </row>
    <row r="25" spans="1:8">
      <c r="A25" s="1" t="s">
        <v>19</v>
      </c>
      <c r="B25" s="2">
        <f>calculated!B24</f>
        <v>27.200000000000003</v>
      </c>
      <c r="C25" s="2">
        <f>$B$2-calculated!C24-$B$4</f>
        <v>67</v>
      </c>
      <c r="D25" s="1">
        <v>1</v>
      </c>
      <c r="E25" s="1">
        <v>4</v>
      </c>
      <c r="F25" s="1" t="s">
        <v>123</v>
      </c>
      <c r="G25" s="1">
        <v>2</v>
      </c>
      <c r="H25" s="1">
        <v>7</v>
      </c>
    </row>
    <row r="26" spans="1:8">
      <c r="A26" s="1" t="s">
        <v>20</v>
      </c>
      <c r="B26" s="2">
        <f>calculated!B25</f>
        <v>46.24</v>
      </c>
      <c r="C26" s="2">
        <f>$B$2-calculated!C25-$B$4</f>
        <v>67</v>
      </c>
      <c r="D26" s="1">
        <v>2</v>
      </c>
      <c r="E26" s="1">
        <v>4</v>
      </c>
      <c r="F26" s="1" t="s">
        <v>124</v>
      </c>
      <c r="G26" s="1">
        <v>6</v>
      </c>
      <c r="H26" s="1">
        <v>7</v>
      </c>
    </row>
    <row r="27" spans="1:8">
      <c r="A27" s="1" t="s">
        <v>21</v>
      </c>
      <c r="B27" s="2">
        <f>calculated!B26</f>
        <v>65.28</v>
      </c>
      <c r="C27" s="2">
        <f>$B$2-calculated!C26-$B$4</f>
        <v>67</v>
      </c>
      <c r="D27" s="1">
        <v>3</v>
      </c>
      <c r="E27" s="1">
        <v>4</v>
      </c>
      <c r="F27" s="1" t="s">
        <v>125</v>
      </c>
      <c r="G27" s="1">
        <v>1</v>
      </c>
      <c r="H27" s="1">
        <v>1</v>
      </c>
    </row>
    <row r="28" spans="1:8">
      <c r="A28" s="1" t="s">
        <v>22</v>
      </c>
      <c r="B28" s="2">
        <f>calculated!B27</f>
        <v>84.32</v>
      </c>
      <c r="C28" s="2">
        <f>$B$2-calculated!C27-$B$4</f>
        <v>67</v>
      </c>
      <c r="D28" s="1">
        <v>4</v>
      </c>
      <c r="E28" s="1">
        <v>4</v>
      </c>
      <c r="F28" s="1" t="s">
        <v>126</v>
      </c>
      <c r="G28" s="1">
        <v>6</v>
      </c>
      <c r="H28" s="1">
        <v>1</v>
      </c>
    </row>
    <row r="29" spans="1:8">
      <c r="A29" s="1" t="s">
        <v>23</v>
      </c>
      <c r="B29" s="2">
        <f>calculated!B28</f>
        <v>103.35999999999999</v>
      </c>
      <c r="C29" s="2">
        <f>$B$2-calculated!C28-$B$4</f>
        <v>67</v>
      </c>
      <c r="D29" s="1">
        <v>5</v>
      </c>
      <c r="E29" s="1">
        <v>4</v>
      </c>
      <c r="F29" s="1" t="s">
        <v>127</v>
      </c>
      <c r="G29" s="1">
        <v>1</v>
      </c>
      <c r="H29" s="1">
        <v>2</v>
      </c>
    </row>
    <row r="30" spans="1:8">
      <c r="A30" s="1" t="s">
        <v>24</v>
      </c>
      <c r="B30" s="2">
        <f>calculated!B29</f>
        <v>122.39999999999998</v>
      </c>
      <c r="C30" s="2">
        <f>$B$2-calculated!C29-$B$4</f>
        <v>67</v>
      </c>
      <c r="D30" s="1">
        <v>6</v>
      </c>
      <c r="E30" s="1">
        <v>4</v>
      </c>
      <c r="F30" s="1" t="s">
        <v>128</v>
      </c>
      <c r="G30" s="1">
        <v>6</v>
      </c>
      <c r="H30" s="1">
        <v>2</v>
      </c>
    </row>
    <row r="31" spans="1:8">
      <c r="A31" s="1" t="s">
        <v>25</v>
      </c>
      <c r="B31" s="2">
        <f>calculated!B30</f>
        <v>141.43999999999997</v>
      </c>
      <c r="C31" s="2">
        <f>$B$2-calculated!C30-$B$4</f>
        <v>67</v>
      </c>
      <c r="D31" s="1">
        <v>7</v>
      </c>
      <c r="E31" s="1">
        <v>4</v>
      </c>
      <c r="F31" s="1" t="s">
        <v>129</v>
      </c>
      <c r="G31" s="1">
        <v>1</v>
      </c>
      <c r="H31" s="1">
        <v>3</v>
      </c>
    </row>
    <row r="32" spans="1:8">
      <c r="A32" s="1" t="s">
        <v>26</v>
      </c>
      <c r="B32" s="2">
        <f>calculated!B31</f>
        <v>160.47999999999996</v>
      </c>
      <c r="C32" s="2">
        <f>$B$2-calculated!C31-$B$4</f>
        <v>67</v>
      </c>
      <c r="D32" s="1">
        <v>8</v>
      </c>
      <c r="E32" s="1">
        <v>4</v>
      </c>
      <c r="F32" s="1" t="s">
        <v>130</v>
      </c>
      <c r="G32" s="1">
        <v>6</v>
      </c>
      <c r="H32" s="1">
        <v>3</v>
      </c>
    </row>
    <row r="33" spans="1:8">
      <c r="A33" s="1" t="s">
        <v>174</v>
      </c>
      <c r="B33" s="2">
        <f>calculated!B32</f>
        <v>179.51999999999995</v>
      </c>
      <c r="C33" s="2">
        <f>$B$2-calculated!C32-$B$4</f>
        <v>67</v>
      </c>
      <c r="D33" s="1">
        <v>9</v>
      </c>
      <c r="E33" s="1">
        <v>4</v>
      </c>
      <c r="F33" s="1" t="s">
        <v>131</v>
      </c>
      <c r="G33" s="1">
        <v>1</v>
      </c>
      <c r="H33" s="1">
        <v>4</v>
      </c>
    </row>
    <row r="34" spans="1:8">
      <c r="A34" s="1" t="s">
        <v>27</v>
      </c>
      <c r="B34" s="2">
        <f>calculated!B33</f>
        <v>198.55999999999995</v>
      </c>
      <c r="C34" s="2">
        <f>$B$2-calculated!C33-$B$4</f>
        <v>67</v>
      </c>
      <c r="D34" s="1">
        <v>10</v>
      </c>
      <c r="E34" s="1">
        <v>4</v>
      </c>
      <c r="F34" s="1" t="s">
        <v>132</v>
      </c>
      <c r="G34" s="1">
        <v>6</v>
      </c>
      <c r="H34" s="1">
        <v>4</v>
      </c>
    </row>
    <row r="35" spans="1:8">
      <c r="A35" s="1" t="s">
        <v>28</v>
      </c>
      <c r="B35" s="2">
        <f>calculated!B34</f>
        <v>217.59999999999994</v>
      </c>
      <c r="C35" s="2">
        <f>$B$2-calculated!C34-$B$4</f>
        <v>67</v>
      </c>
      <c r="D35" s="1">
        <v>11</v>
      </c>
      <c r="E35" s="1">
        <v>4</v>
      </c>
      <c r="F35" s="1" t="s">
        <v>133</v>
      </c>
      <c r="G35" s="1">
        <v>1</v>
      </c>
      <c r="H35" s="1">
        <v>5</v>
      </c>
    </row>
    <row r="36" spans="1:8">
      <c r="A36" s="1" t="s">
        <v>29</v>
      </c>
      <c r="B36" s="2">
        <f>calculated!B35</f>
        <v>236.63999999999993</v>
      </c>
      <c r="C36" s="2">
        <f>$B$2-calculated!C35-$B$4</f>
        <v>67</v>
      </c>
      <c r="D36" s="1">
        <v>12</v>
      </c>
      <c r="E36" s="1">
        <v>4</v>
      </c>
      <c r="F36" s="1" t="s">
        <v>134</v>
      </c>
      <c r="G36" s="1">
        <v>6</v>
      </c>
      <c r="H36" s="1">
        <v>5</v>
      </c>
    </row>
    <row r="37" spans="1:8">
      <c r="A37" s="1" t="s">
        <v>30</v>
      </c>
      <c r="B37" s="2">
        <f>calculated!B36</f>
        <v>255.67999999999992</v>
      </c>
      <c r="C37" s="2">
        <f>$B$2-calculated!C36-$B$4</f>
        <v>67</v>
      </c>
      <c r="D37" s="1">
        <v>13</v>
      </c>
      <c r="E37" s="1">
        <v>4</v>
      </c>
      <c r="F37" s="1" t="s">
        <v>135</v>
      </c>
      <c r="G37" s="1">
        <v>1</v>
      </c>
      <c r="H37" s="1">
        <v>6</v>
      </c>
    </row>
    <row r="38" spans="1:8">
      <c r="A38" s="1" t="s">
        <v>31</v>
      </c>
      <c r="B38" s="2">
        <f>calculated!B37</f>
        <v>274.71999999999991</v>
      </c>
      <c r="C38" s="2">
        <f>$B$2-calculated!C37-$B$4</f>
        <v>67</v>
      </c>
      <c r="D38" s="1">
        <v>14</v>
      </c>
      <c r="E38" s="1">
        <v>4</v>
      </c>
      <c r="F38" s="1" t="s">
        <v>136</v>
      </c>
      <c r="G38" s="1">
        <v>6</v>
      </c>
      <c r="H38" s="1">
        <v>6</v>
      </c>
    </row>
    <row r="39" spans="1:8">
      <c r="A39" s="1" t="s">
        <v>32</v>
      </c>
      <c r="B39" s="2">
        <f>calculated!B38</f>
        <v>293.75999999999993</v>
      </c>
      <c r="C39" s="2">
        <f>$B$2-calculated!C38-$B$4</f>
        <v>67</v>
      </c>
      <c r="D39" s="1">
        <v>15</v>
      </c>
      <c r="E39" s="1">
        <v>4</v>
      </c>
      <c r="F39" s="1" t="s">
        <v>137</v>
      </c>
      <c r="G39" s="1" t="s">
        <v>175</v>
      </c>
      <c r="H39" s="1" t="s">
        <v>32</v>
      </c>
    </row>
    <row r="40" spans="1:8">
      <c r="A40" s="1" t="s">
        <v>37</v>
      </c>
      <c r="B40" s="2">
        <f>calculated!B39</f>
        <v>353.84999999999997</v>
      </c>
      <c r="C40" s="2">
        <f>$B$2-calculated!C39-$B$4</f>
        <v>67</v>
      </c>
      <c r="D40" s="1">
        <v>16</v>
      </c>
      <c r="E40" s="1">
        <v>4</v>
      </c>
      <c r="F40" s="1" t="s">
        <v>138</v>
      </c>
      <c r="G40" s="1">
        <v>5</v>
      </c>
      <c r="H40" s="1">
        <v>0</v>
      </c>
    </row>
    <row r="41" spans="1:8">
      <c r="A41" s="1" t="s">
        <v>38</v>
      </c>
      <c r="B41" s="2">
        <f>calculated!B40</f>
        <v>12.8</v>
      </c>
      <c r="C41" s="2">
        <f>$B$2-calculated!C40-$B$4</f>
        <v>47.95</v>
      </c>
      <c r="D41" s="1">
        <v>1</v>
      </c>
      <c r="E41" s="1">
        <v>3</v>
      </c>
      <c r="F41" s="1" t="s">
        <v>139</v>
      </c>
      <c r="G41" s="1">
        <v>7</v>
      </c>
      <c r="H41" s="1">
        <v>7</v>
      </c>
    </row>
    <row r="42" spans="1:8">
      <c r="A42" s="1" t="s">
        <v>39</v>
      </c>
      <c r="B42" s="2">
        <f>calculated!B41</f>
        <v>31.84</v>
      </c>
      <c r="C42" s="2">
        <f>$B$2-calculated!C41-$B$4</f>
        <v>47.95</v>
      </c>
      <c r="D42" s="1">
        <v>2</v>
      </c>
      <c r="E42" s="1">
        <v>3</v>
      </c>
      <c r="F42" s="1" t="s">
        <v>140</v>
      </c>
      <c r="G42" s="1">
        <v>7</v>
      </c>
      <c r="H42" s="1">
        <v>1</v>
      </c>
    </row>
    <row r="43" spans="1:8">
      <c r="A43" s="1" t="s">
        <v>40</v>
      </c>
      <c r="B43" s="2">
        <f>calculated!B42</f>
        <v>50.879999999999995</v>
      </c>
      <c r="C43" s="2">
        <f>$B$2-calculated!C42-$B$4</f>
        <v>47.95</v>
      </c>
      <c r="D43" s="1">
        <v>3</v>
      </c>
      <c r="E43" s="1">
        <v>3</v>
      </c>
      <c r="F43" s="1" t="s">
        <v>141</v>
      </c>
      <c r="G43" s="1">
        <v>2</v>
      </c>
      <c r="H43" s="1">
        <v>1</v>
      </c>
    </row>
    <row r="44" spans="1:8">
      <c r="A44" s="1" t="s">
        <v>54</v>
      </c>
      <c r="B44" s="2">
        <f>calculated!B43</f>
        <v>69.919999999999987</v>
      </c>
      <c r="C44" s="2">
        <f>$B$2-calculated!C43-$B$4</f>
        <v>47.95</v>
      </c>
      <c r="D44" s="1">
        <v>4</v>
      </c>
      <c r="E44" s="1">
        <v>3</v>
      </c>
      <c r="F44" s="1" t="s">
        <v>142</v>
      </c>
      <c r="G44" s="1">
        <v>5</v>
      </c>
      <c r="H44" s="1">
        <v>1</v>
      </c>
    </row>
    <row r="45" spans="1:8">
      <c r="A45" s="1" t="s">
        <v>41</v>
      </c>
      <c r="B45" s="2">
        <f>calculated!B44</f>
        <v>88.95999999999998</v>
      </c>
      <c r="C45" s="2">
        <f>$B$2-calculated!C44-$B$4</f>
        <v>47.95</v>
      </c>
      <c r="D45" s="1">
        <v>5</v>
      </c>
      <c r="E45" s="1">
        <v>3</v>
      </c>
      <c r="F45" s="1" t="s">
        <v>143</v>
      </c>
      <c r="G45" s="1">
        <v>2</v>
      </c>
      <c r="H45" s="1">
        <v>2</v>
      </c>
    </row>
    <row r="46" spans="1:8">
      <c r="A46" s="1" t="s">
        <v>42</v>
      </c>
      <c r="B46" s="2">
        <f>calculated!B45</f>
        <v>107.99999999999997</v>
      </c>
      <c r="C46" s="2">
        <f>$B$2-calculated!C45-$B$4</f>
        <v>47.95</v>
      </c>
      <c r="D46" s="1">
        <v>6</v>
      </c>
      <c r="E46" s="1">
        <v>3</v>
      </c>
      <c r="F46" s="1" t="s">
        <v>144</v>
      </c>
      <c r="G46" s="1">
        <v>5</v>
      </c>
      <c r="H46" s="1">
        <v>2</v>
      </c>
    </row>
    <row r="47" spans="1:8">
      <c r="A47" s="1" t="s">
        <v>43</v>
      </c>
      <c r="B47" s="2">
        <f>calculated!B46</f>
        <v>127.03999999999996</v>
      </c>
      <c r="C47" s="2">
        <f>$B$2-calculated!C46-$B$4</f>
        <v>47.95</v>
      </c>
      <c r="D47" s="1">
        <v>7</v>
      </c>
      <c r="E47" s="1">
        <v>3</v>
      </c>
      <c r="F47" s="1" t="s">
        <v>145</v>
      </c>
      <c r="G47" s="1">
        <v>2</v>
      </c>
      <c r="H47" s="1">
        <v>3</v>
      </c>
    </row>
    <row r="48" spans="1:8">
      <c r="A48" s="1" t="s">
        <v>44</v>
      </c>
      <c r="B48" s="2">
        <f>calculated!B47</f>
        <v>146.07999999999996</v>
      </c>
      <c r="C48" s="2">
        <f>$B$2-calculated!C47-$B$4</f>
        <v>47.95</v>
      </c>
      <c r="D48" s="1">
        <v>8</v>
      </c>
      <c r="E48" s="1">
        <v>3</v>
      </c>
      <c r="F48" s="1" t="s">
        <v>146</v>
      </c>
      <c r="G48" s="1">
        <v>5</v>
      </c>
      <c r="H48" s="1">
        <v>3</v>
      </c>
    </row>
    <row r="49" spans="1:8">
      <c r="A49" s="1" t="s">
        <v>45</v>
      </c>
      <c r="B49" s="2">
        <f>calculated!B48</f>
        <v>165.11999999999995</v>
      </c>
      <c r="C49" s="2">
        <f>$B$2-calculated!C48-$B$4</f>
        <v>47.95</v>
      </c>
      <c r="D49" s="1">
        <v>9</v>
      </c>
      <c r="E49" s="1">
        <v>3</v>
      </c>
      <c r="F49" s="1" t="s">
        <v>147</v>
      </c>
      <c r="G49" s="1">
        <v>2</v>
      </c>
      <c r="H49" s="1">
        <v>4</v>
      </c>
    </row>
    <row r="50" spans="1:8">
      <c r="A50" s="1" t="s">
        <v>46</v>
      </c>
      <c r="B50" s="2">
        <f>calculated!B49</f>
        <v>184.15999999999994</v>
      </c>
      <c r="C50" s="2">
        <f>$B$2-calculated!C49-$B$4</f>
        <v>47.95</v>
      </c>
      <c r="D50" s="1">
        <v>10</v>
      </c>
      <c r="E50" s="1">
        <v>3</v>
      </c>
      <c r="F50" s="1" t="s">
        <v>148</v>
      </c>
      <c r="G50" s="1">
        <v>5</v>
      </c>
      <c r="H50" s="1">
        <v>4</v>
      </c>
    </row>
    <row r="51" spans="1:8">
      <c r="A51" s="1" t="s">
        <v>47</v>
      </c>
      <c r="B51" s="2">
        <f>calculated!B50</f>
        <v>203.19999999999993</v>
      </c>
      <c r="C51" s="2">
        <f>$B$2-calculated!C50-$B$4</f>
        <v>47.95</v>
      </c>
      <c r="D51" s="1">
        <v>11</v>
      </c>
      <c r="E51" s="1">
        <v>3</v>
      </c>
      <c r="F51" s="1" t="s">
        <v>149</v>
      </c>
      <c r="G51" s="1">
        <v>2</v>
      </c>
      <c r="H51" s="1">
        <v>5</v>
      </c>
    </row>
    <row r="52" spans="1:8">
      <c r="A52" s="1" t="s">
        <v>48</v>
      </c>
      <c r="B52" s="2">
        <f>calculated!B51</f>
        <v>222.23999999999992</v>
      </c>
      <c r="C52" s="2">
        <f>$B$2-calculated!C51-$B$4</f>
        <v>47.95</v>
      </c>
      <c r="D52" s="1">
        <v>12</v>
      </c>
      <c r="E52" s="1">
        <v>3</v>
      </c>
      <c r="F52" s="1" t="s">
        <v>150</v>
      </c>
      <c r="G52" s="1">
        <v>5</v>
      </c>
      <c r="H52" s="1">
        <v>5</v>
      </c>
    </row>
    <row r="53" spans="1:8">
      <c r="A53" s="1" t="s">
        <v>49</v>
      </c>
      <c r="B53" s="2">
        <f>calculated!B52</f>
        <v>241.27999999999992</v>
      </c>
      <c r="C53" s="2">
        <f>$B$2-calculated!C52-$B$4</f>
        <v>47.95</v>
      </c>
      <c r="D53" s="1">
        <v>13</v>
      </c>
      <c r="E53" s="1">
        <v>3</v>
      </c>
      <c r="F53" s="1" t="s">
        <v>151</v>
      </c>
      <c r="G53" s="1">
        <v>2</v>
      </c>
      <c r="H53" s="1">
        <v>6</v>
      </c>
    </row>
    <row r="54" spans="1:8">
      <c r="A54" s="1" t="s">
        <v>50</v>
      </c>
      <c r="B54" s="2">
        <f>calculated!B53</f>
        <v>260.31999999999994</v>
      </c>
      <c r="C54" s="2">
        <f>$B$2-calculated!C53-$B$4</f>
        <v>47.95</v>
      </c>
      <c r="D54" s="1">
        <v>14</v>
      </c>
      <c r="E54" s="1">
        <v>3</v>
      </c>
      <c r="F54" s="1" t="s">
        <v>152</v>
      </c>
      <c r="G54" s="1">
        <v>5</v>
      </c>
      <c r="H54" s="1">
        <v>6</v>
      </c>
    </row>
    <row r="55" spans="1:8">
      <c r="A55" s="1" t="s">
        <v>51</v>
      </c>
      <c r="B55" s="2">
        <f>calculated!B54</f>
        <v>288.87999999999994</v>
      </c>
      <c r="C55" s="2">
        <f>$B$2-calculated!C54-$B$4</f>
        <v>47.95</v>
      </c>
      <c r="D55" s="1">
        <v>15</v>
      </c>
      <c r="E55" s="1">
        <v>3</v>
      </c>
      <c r="F55" s="1" t="s">
        <v>153</v>
      </c>
      <c r="G55" s="1">
        <v>1</v>
      </c>
      <c r="H55" s="1">
        <v>0</v>
      </c>
    </row>
    <row r="56" spans="1:8">
      <c r="A56" s="1" t="s">
        <v>52</v>
      </c>
      <c r="B56" s="2">
        <f>calculated!B55</f>
        <v>353.84999999999997</v>
      </c>
      <c r="C56" s="2">
        <f>$B$2-calculated!C55-$B$4</f>
        <v>47.95</v>
      </c>
      <c r="D56" s="1">
        <v>16</v>
      </c>
      <c r="E56" s="1">
        <v>3</v>
      </c>
      <c r="F56" s="1" t="s">
        <v>154</v>
      </c>
      <c r="G56" s="1">
        <v>6</v>
      </c>
      <c r="H56" s="1">
        <v>0</v>
      </c>
    </row>
    <row r="57" spans="1:8">
      <c r="A57" s="1" t="s">
        <v>56</v>
      </c>
      <c r="B57" s="2">
        <f>calculated!B56</f>
        <v>12.8</v>
      </c>
      <c r="C57" s="2">
        <f>$B$2-calculated!C56-$B$4</f>
        <v>28.9</v>
      </c>
      <c r="D57" s="1">
        <v>1</v>
      </c>
      <c r="E57" s="1">
        <v>2</v>
      </c>
      <c r="F57" s="1" t="s">
        <v>155</v>
      </c>
      <c r="G57" s="1">
        <v>5</v>
      </c>
      <c r="H57" s="1">
        <v>7</v>
      </c>
    </row>
    <row r="58" spans="1:8">
      <c r="A58" s="1" t="s">
        <v>67</v>
      </c>
      <c r="B58" s="2">
        <f>calculated!B57</f>
        <v>41.36</v>
      </c>
      <c r="C58" s="2">
        <f>$B$2-calculated!C57-$B$4</f>
        <v>28.9</v>
      </c>
      <c r="D58" s="1">
        <v>2</v>
      </c>
      <c r="E58" s="1">
        <v>2</v>
      </c>
      <c r="F58" s="1" t="s">
        <v>156</v>
      </c>
      <c r="G58" s="1">
        <v>7</v>
      </c>
      <c r="H58" s="1">
        <v>1</v>
      </c>
    </row>
    <row r="59" spans="1:8">
      <c r="A59" s="1" t="s">
        <v>58</v>
      </c>
      <c r="B59" s="2">
        <f>calculated!B58</f>
        <v>60.4</v>
      </c>
      <c r="C59" s="2">
        <f>$B$2-calculated!C58-$B$4</f>
        <v>28.9</v>
      </c>
      <c r="D59" s="1">
        <v>3</v>
      </c>
      <c r="E59" s="1">
        <v>2</v>
      </c>
      <c r="F59" s="1" t="s">
        <v>157</v>
      </c>
      <c r="G59" s="1">
        <v>4</v>
      </c>
      <c r="H59" s="1">
        <v>1</v>
      </c>
    </row>
    <row r="60" spans="1:8">
      <c r="A60" s="1" t="s">
        <v>57</v>
      </c>
      <c r="B60" s="2">
        <f>calculated!B59</f>
        <v>79.44</v>
      </c>
      <c r="C60" s="2">
        <f>$B$2-calculated!C59-$B$4</f>
        <v>28.9</v>
      </c>
      <c r="D60" s="1">
        <v>4</v>
      </c>
      <c r="E60" s="1">
        <v>2</v>
      </c>
      <c r="F60" s="1" t="s">
        <v>158</v>
      </c>
      <c r="G60" s="1">
        <v>7</v>
      </c>
      <c r="H60" s="1">
        <v>2</v>
      </c>
    </row>
    <row r="61" spans="1:8">
      <c r="A61" s="1" t="s">
        <v>59</v>
      </c>
      <c r="B61" s="2">
        <f>calculated!B60</f>
        <v>98.47999999999999</v>
      </c>
      <c r="C61" s="2">
        <f>$B$2-calculated!C60-$B$4</f>
        <v>28.9</v>
      </c>
      <c r="D61" s="1">
        <v>5</v>
      </c>
      <c r="E61" s="1">
        <v>2</v>
      </c>
      <c r="F61" s="1" t="s">
        <v>159</v>
      </c>
      <c r="G61" s="1">
        <v>4</v>
      </c>
      <c r="H61" s="1">
        <v>2</v>
      </c>
    </row>
    <row r="62" spans="1:8">
      <c r="A62" s="1" t="s">
        <v>60</v>
      </c>
      <c r="B62" s="2">
        <f>calculated!B61</f>
        <v>117.51999999999998</v>
      </c>
      <c r="C62" s="2">
        <f>$B$2-calculated!C61-$B$4</f>
        <v>28.9</v>
      </c>
      <c r="D62" s="1">
        <v>6</v>
      </c>
      <c r="E62" s="1">
        <v>2</v>
      </c>
      <c r="F62" s="1" t="s">
        <v>160</v>
      </c>
      <c r="G62" s="1">
        <v>7</v>
      </c>
      <c r="H62" s="1">
        <v>3</v>
      </c>
    </row>
    <row r="63" spans="1:8">
      <c r="A63" s="1" t="s">
        <v>61</v>
      </c>
      <c r="B63" s="2">
        <f>calculated!B62</f>
        <v>136.55999999999997</v>
      </c>
      <c r="C63" s="2">
        <f>$B$2-calculated!C62-$B$4</f>
        <v>28.9</v>
      </c>
      <c r="D63" s="1">
        <v>7</v>
      </c>
      <c r="E63" s="1">
        <v>2</v>
      </c>
      <c r="F63" s="1" t="s">
        <v>161</v>
      </c>
      <c r="G63" s="1">
        <v>4</v>
      </c>
      <c r="H63" s="1">
        <v>3</v>
      </c>
    </row>
    <row r="64" spans="1:8">
      <c r="A64" s="1" t="s">
        <v>62</v>
      </c>
      <c r="B64" s="2">
        <f>calculated!B63</f>
        <v>155.59999999999997</v>
      </c>
      <c r="C64" s="2">
        <f>$B$2-calculated!C63-$B$4</f>
        <v>28.9</v>
      </c>
      <c r="D64" s="1">
        <v>8</v>
      </c>
      <c r="E64" s="1">
        <v>2</v>
      </c>
      <c r="F64" s="1" t="s">
        <v>162</v>
      </c>
      <c r="G64" s="1">
        <v>7</v>
      </c>
      <c r="H64" s="1">
        <v>4</v>
      </c>
    </row>
    <row r="65" spans="1:8">
      <c r="A65" s="1" t="s">
        <v>63</v>
      </c>
      <c r="B65" s="2">
        <f>calculated!B64</f>
        <v>174.63999999999996</v>
      </c>
      <c r="C65" s="2">
        <f>$B$2-calculated!C64-$B$4</f>
        <v>28.9</v>
      </c>
      <c r="D65" s="1">
        <v>9</v>
      </c>
      <c r="E65" s="1">
        <v>2</v>
      </c>
      <c r="F65" s="1" t="s">
        <v>163</v>
      </c>
      <c r="G65" s="1">
        <v>4</v>
      </c>
      <c r="H65" s="1">
        <v>4</v>
      </c>
    </row>
    <row r="66" spans="1:8">
      <c r="A66" s="1" t="s">
        <v>64</v>
      </c>
      <c r="B66" s="2">
        <f>calculated!B65</f>
        <v>193.67999999999995</v>
      </c>
      <c r="C66" s="2">
        <f>$B$2-calculated!C65-$B$4</f>
        <v>28.9</v>
      </c>
      <c r="D66" s="1">
        <v>10</v>
      </c>
      <c r="E66" s="1">
        <v>2</v>
      </c>
      <c r="F66" s="1" t="s">
        <v>164</v>
      </c>
      <c r="G66" s="1">
        <v>7</v>
      </c>
      <c r="H66" s="1">
        <v>5</v>
      </c>
    </row>
    <row r="67" spans="1:8">
      <c r="A67" s="1" t="s">
        <v>65</v>
      </c>
      <c r="B67" s="2">
        <f>calculated!B66</f>
        <v>212.71999999999994</v>
      </c>
      <c r="C67" s="2">
        <f>$B$2-calculated!C66-$B$4</f>
        <v>28.9</v>
      </c>
      <c r="D67" s="1">
        <v>11</v>
      </c>
      <c r="E67" s="1">
        <v>2</v>
      </c>
      <c r="F67" s="1" t="s">
        <v>165</v>
      </c>
      <c r="G67" s="1">
        <v>4</v>
      </c>
      <c r="H67" s="1">
        <v>5</v>
      </c>
    </row>
    <row r="68" spans="1:8">
      <c r="A68" s="1" t="s">
        <v>66</v>
      </c>
      <c r="B68" s="2">
        <f>calculated!B67</f>
        <v>231.75999999999993</v>
      </c>
      <c r="C68" s="2">
        <f>$B$2-calculated!C67-$B$4</f>
        <v>28.9</v>
      </c>
      <c r="D68" s="1">
        <v>12</v>
      </c>
      <c r="E68" s="1">
        <v>2</v>
      </c>
      <c r="F68" s="1" t="s">
        <v>166</v>
      </c>
      <c r="G68" s="1">
        <v>7</v>
      </c>
      <c r="H68" s="1">
        <v>6</v>
      </c>
    </row>
    <row r="69" spans="1:8">
      <c r="A69" s="1" t="s">
        <v>68</v>
      </c>
      <c r="B69" s="2">
        <f>calculated!B68</f>
        <v>260.31999999999994</v>
      </c>
      <c r="C69" s="2">
        <f>$B$2-calculated!C68-$B$4</f>
        <v>28.9</v>
      </c>
      <c r="D69" s="1">
        <v>13</v>
      </c>
      <c r="E69" s="1">
        <v>2</v>
      </c>
      <c r="F69" s="1" t="s">
        <v>167</v>
      </c>
      <c r="G69" s="1">
        <v>4</v>
      </c>
      <c r="H69" s="1">
        <v>6</v>
      </c>
    </row>
    <row r="70" spans="1:8">
      <c r="A70" s="1" t="s">
        <v>69</v>
      </c>
      <c r="B70" s="2">
        <f>calculated!B69</f>
        <v>279.35999999999996</v>
      </c>
      <c r="C70" s="2">
        <f>$B$2-calculated!C69-$B$4</f>
        <v>28.9</v>
      </c>
      <c r="D70" s="1">
        <v>14</v>
      </c>
      <c r="E70" s="1">
        <v>2</v>
      </c>
      <c r="F70" s="1" t="s">
        <v>168</v>
      </c>
      <c r="G70" s="1">
        <v>7</v>
      </c>
      <c r="H70" s="1">
        <v>0</v>
      </c>
    </row>
    <row r="71" spans="1:8">
      <c r="A71" s="1" t="s">
        <v>70</v>
      </c>
      <c r="B71" s="2">
        <f>calculated!B70</f>
        <v>298.39999999999998</v>
      </c>
      <c r="C71" s="2">
        <f>$B$2-calculated!C70-$B$4</f>
        <v>28.9</v>
      </c>
      <c r="D71" s="1">
        <v>15</v>
      </c>
      <c r="E71" s="1">
        <v>2</v>
      </c>
      <c r="F71" s="1" t="s">
        <v>169</v>
      </c>
      <c r="G71" s="1">
        <v>2</v>
      </c>
      <c r="H71" s="1">
        <v>0</v>
      </c>
    </row>
    <row r="72" spans="1:8">
      <c r="A72" s="1" t="s">
        <v>71</v>
      </c>
      <c r="B72" s="2">
        <f>calculated!B71</f>
        <v>353.84999999999997</v>
      </c>
      <c r="C72" s="2">
        <f>$B$2-calculated!C71-$B$4</f>
        <v>28.9</v>
      </c>
      <c r="D72" s="1">
        <v>16</v>
      </c>
      <c r="E72" s="1">
        <v>2</v>
      </c>
      <c r="F72" s="1" t="s">
        <v>170</v>
      </c>
      <c r="G72" s="1">
        <v>3</v>
      </c>
      <c r="H72" s="1">
        <v>0</v>
      </c>
    </row>
    <row r="73" spans="1:8">
      <c r="A73" s="1" t="s">
        <v>76</v>
      </c>
      <c r="B73" s="2">
        <f>calculated!B72</f>
        <v>141.375</v>
      </c>
      <c r="C73" s="2">
        <f>$B$2-calculated!C72-$B$4</f>
        <v>9.8500000000000014</v>
      </c>
      <c r="D73" s="1">
        <v>1</v>
      </c>
      <c r="E73" s="1">
        <v>1</v>
      </c>
      <c r="F73" s="1" t="s">
        <v>171</v>
      </c>
      <c r="G73" s="1">
        <v>4</v>
      </c>
      <c r="H73" s="1">
        <v>7</v>
      </c>
    </row>
  </sheetData>
  <phoneticPr fontId="12" type="noConversion"/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measured</vt:lpstr>
      <vt:lpstr>calculated</vt:lpstr>
      <vt:lpstr>deviation</vt:lpstr>
      <vt:lpstr>PCB</vt:lpstr>
      <vt:lpstr>PCB!Druckbereich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Petersen</dc:creator>
  <cp:lastModifiedBy>Sven Petersen</cp:lastModifiedBy>
  <cp:lastPrinted>2025-01-16T12:25:08Z</cp:lastPrinted>
  <dcterms:created xsi:type="dcterms:W3CDTF">2025-01-12T12:07:09Z</dcterms:created>
  <dcterms:modified xsi:type="dcterms:W3CDTF">2025-02-03T10:28:01Z</dcterms:modified>
</cp:coreProperties>
</file>